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workbookProtection workbookAlgorithmName="SHA-512" workbookHashValue="PNPDj6Nb+bguGKF16i4O7ASkbWOXjR8ixha0Gg0i/dKrRyR34UP38JZJnPafJYTJ/DWwTfkQjP6JGPUo9zJ1Sw==" workbookSaltValue="QfSl5hHas9PhuERGxn4bHw==" workbookSpinCount="100000" lockStructure="1"/>
  <bookViews>
    <workbookView xWindow="0" yWindow="0" windowWidth="28800" windowHeight="11700" firstSheet="1" activeTab="1"/>
  </bookViews>
  <sheets>
    <sheet name="PDS-PPS-OKTE" sheetId="1" state="hidden" r:id="rId1"/>
    <sheet name="Nátok z PRDS" sheetId="10" r:id="rId2"/>
    <sheet name="Distribúcia KS v PMDS" sheetId="12" r:id="rId3"/>
    <sheet name="ZSD" sheetId="13" r:id="rId4"/>
    <sheet name="SSD" sheetId="15" r:id="rId5"/>
    <sheet name="VSD" sheetId="14" r:id="rId6"/>
    <sheet name="Okresy" sheetId="4" state="hidden" r:id="rId7"/>
    <sheet name="Output" sheetId="5" state="hidden" r:id="rId8"/>
  </sheets>
  <definedNames>
    <definedName name="_xlnm._FilterDatabase" localSheetId="2" hidden="1">'Distribúcia KS v PMDS'!$A$4:$K$229</definedName>
    <definedName name="_xlnm._FilterDatabase" localSheetId="1" hidden="1">'Nátok z PRDS'!$K$1:$K$241</definedName>
    <definedName name="_xlnm._FilterDatabase" localSheetId="4" hidden="1">SSD!$A$4:$L$225</definedName>
    <definedName name="_xlnm._FilterDatabase" localSheetId="5" hidden="1">VSD!$A$4:$L$225</definedName>
    <definedName name="_xlnm._FilterDatabase" localSheetId="3" hidden="1">ZSD!$A$4:$M$225</definedName>
    <definedName name="_xlnm.Print_Titles" localSheetId="2">'Distribúcia KS v PMDS'!$1:$4</definedName>
    <definedName name="_xlnm.Print_Titles" localSheetId="1">'Nátok z PRDS'!$1:$4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4" i="10" l="1"/>
  <c r="G214" i="10"/>
  <c r="F8" i="12" l="1"/>
  <c r="G8" i="12"/>
  <c r="F13" i="12"/>
  <c r="G13" i="12"/>
  <c r="F17" i="12"/>
  <c r="G17" i="12"/>
  <c r="F20" i="12"/>
  <c r="G20" i="12"/>
  <c r="F25" i="12"/>
  <c r="G25" i="12"/>
  <c r="F28" i="12"/>
  <c r="G28" i="12"/>
  <c r="F32" i="12"/>
  <c r="G32" i="12"/>
  <c r="F35" i="12"/>
  <c r="G35" i="12"/>
  <c r="F39" i="12"/>
  <c r="G39" i="12"/>
  <c r="F42" i="12"/>
  <c r="G42" i="12"/>
  <c r="F46" i="12"/>
  <c r="G46" i="12"/>
  <c r="F49" i="12"/>
  <c r="G49" i="12"/>
  <c r="F53" i="12"/>
  <c r="G53" i="12"/>
  <c r="F56" i="12"/>
  <c r="G56" i="12"/>
  <c r="F60" i="12"/>
  <c r="G60" i="12"/>
  <c r="F63" i="12"/>
  <c r="G63" i="12"/>
  <c r="F67" i="12"/>
  <c r="G67" i="12"/>
  <c r="F70" i="12"/>
  <c r="G70" i="12"/>
  <c r="F73" i="12"/>
  <c r="G73" i="12"/>
  <c r="F76" i="12"/>
  <c r="G76" i="12"/>
  <c r="F83" i="12"/>
  <c r="G83" i="12"/>
  <c r="F88" i="12"/>
  <c r="G88" i="12"/>
  <c r="F93" i="12"/>
  <c r="G93" i="12"/>
  <c r="F98" i="12"/>
  <c r="G98" i="12"/>
  <c r="F101" i="12"/>
  <c r="G101" i="12"/>
  <c r="F106" i="12"/>
  <c r="G106" i="12"/>
  <c r="F109" i="12"/>
  <c r="G109" i="12"/>
  <c r="F114" i="12"/>
  <c r="G114" i="12"/>
  <c r="F117" i="12"/>
  <c r="G117" i="12"/>
  <c r="F122" i="12"/>
  <c r="G122" i="12"/>
  <c r="F125" i="12"/>
  <c r="G125" i="12"/>
  <c r="F130" i="12"/>
  <c r="G130" i="12"/>
  <c r="F133" i="12"/>
  <c r="G133" i="12"/>
  <c r="F140" i="12"/>
  <c r="G140" i="12"/>
  <c r="F146" i="12"/>
  <c r="G146" i="12"/>
  <c r="F151" i="12"/>
  <c r="G151" i="12"/>
  <c r="F154" i="12"/>
  <c r="G154" i="12"/>
  <c r="F159" i="12"/>
  <c r="G159" i="12"/>
  <c r="F162" i="12"/>
  <c r="G162" i="12"/>
  <c r="F165" i="12"/>
  <c r="G165" i="12"/>
  <c r="F168" i="12"/>
  <c r="G168" i="12"/>
  <c r="F183" i="12"/>
  <c r="G183" i="12"/>
  <c r="F186" i="12"/>
  <c r="G186" i="12"/>
  <c r="F189" i="12"/>
  <c r="G189" i="12"/>
  <c r="F193" i="12"/>
  <c r="G193" i="12"/>
  <c r="F197" i="12"/>
  <c r="G197" i="12"/>
  <c r="F200" i="12"/>
  <c r="G200" i="12"/>
  <c r="F214" i="12"/>
  <c r="G214" i="12"/>
  <c r="F217" i="12"/>
  <c r="G217" i="12"/>
  <c r="F220" i="12"/>
  <c r="G220" i="12"/>
  <c r="F8" i="10"/>
  <c r="G8" i="10"/>
  <c r="F13" i="10"/>
  <c r="G13" i="10"/>
  <c r="F17" i="10"/>
  <c r="G17" i="10"/>
  <c r="F20" i="10"/>
  <c r="G20" i="10"/>
  <c r="F25" i="10"/>
  <c r="G25" i="10"/>
  <c r="F28" i="10"/>
  <c r="G28" i="10"/>
  <c r="F32" i="10"/>
  <c r="G32" i="10"/>
  <c r="F35" i="10"/>
  <c r="G35" i="10"/>
  <c r="F39" i="10"/>
  <c r="G39" i="10"/>
  <c r="F42" i="10"/>
  <c r="G42" i="10"/>
  <c r="F46" i="10"/>
  <c r="G46" i="10"/>
  <c r="F49" i="10"/>
  <c r="G49" i="10"/>
  <c r="F53" i="10"/>
  <c r="G53" i="10"/>
  <c r="F56" i="10"/>
  <c r="G56" i="10"/>
  <c r="F60" i="10"/>
  <c r="G60" i="10"/>
  <c r="F63" i="10"/>
  <c r="G63" i="10"/>
  <c r="F67" i="10"/>
  <c r="G67" i="10"/>
  <c r="F70" i="10"/>
  <c r="G70" i="10"/>
  <c r="F73" i="10"/>
  <c r="G73" i="10"/>
  <c r="F76" i="10"/>
  <c r="G76" i="10"/>
  <c r="F83" i="10"/>
  <c r="G83" i="10"/>
  <c r="F88" i="10"/>
  <c r="G88" i="10"/>
  <c r="F93" i="10"/>
  <c r="G93" i="10"/>
  <c r="F98" i="10"/>
  <c r="G98" i="10"/>
  <c r="F101" i="10"/>
  <c r="G101" i="10"/>
  <c r="F106" i="10"/>
  <c r="G106" i="10"/>
  <c r="F109" i="10"/>
  <c r="G109" i="10"/>
  <c r="F114" i="10"/>
  <c r="G114" i="10"/>
  <c r="F117" i="10"/>
  <c r="G117" i="10"/>
  <c r="F122" i="10"/>
  <c r="G122" i="10"/>
  <c r="F125" i="10"/>
  <c r="G125" i="10"/>
  <c r="F130" i="10"/>
  <c r="G130" i="10"/>
  <c r="F133" i="10"/>
  <c r="G133" i="10"/>
  <c r="F140" i="10"/>
  <c r="G140" i="10"/>
  <c r="F146" i="10"/>
  <c r="G146" i="10"/>
  <c r="F151" i="10"/>
  <c r="G151" i="10"/>
  <c r="F154" i="10"/>
  <c r="G154" i="10"/>
  <c r="F159" i="10"/>
  <c r="G159" i="10"/>
  <c r="F162" i="10"/>
  <c r="G162" i="10"/>
  <c r="F165" i="10"/>
  <c r="G165" i="10"/>
  <c r="F168" i="10"/>
  <c r="G168" i="10"/>
  <c r="O169" i="10"/>
  <c r="E170" i="10" s="1"/>
  <c r="O221" i="10"/>
  <c r="E222" i="10" s="1"/>
  <c r="O201" i="10"/>
  <c r="O77" i="10"/>
  <c r="E78" i="10" s="1"/>
  <c r="O228" i="10" l="1"/>
  <c r="N228" i="10"/>
  <c r="H228" i="10" s="1"/>
  <c r="L227" i="10" s="1"/>
  <c r="E202" i="10"/>
  <c r="G220" i="10" l="1"/>
  <c r="F220" i="10"/>
  <c r="G217" i="10"/>
  <c r="F217" i="10"/>
  <c r="G200" i="10"/>
  <c r="F200" i="10"/>
  <c r="G197" i="10"/>
  <c r="F197" i="10"/>
  <c r="G193" i="10"/>
  <c r="F193" i="10"/>
  <c r="G189" i="10"/>
  <c r="F189" i="10"/>
  <c r="G186" i="10"/>
  <c r="F186" i="10"/>
  <c r="G183" i="10"/>
  <c r="F183" i="10"/>
  <c r="P229" i="12" l="1"/>
  <c r="N221" i="12"/>
  <c r="E222" i="12" s="1"/>
  <c r="N202" i="12"/>
  <c r="E202" i="12" s="1"/>
  <c r="O169" i="12"/>
  <c r="E170" i="12" s="1"/>
  <c r="M78" i="12"/>
  <c r="E78" i="12" s="1"/>
  <c r="H228" i="12" l="1"/>
  <c r="M6" i="13" l="1"/>
  <c r="M7" i="13"/>
  <c r="M11" i="13"/>
  <c r="M12" i="13"/>
  <c r="M15" i="13"/>
  <c r="M16" i="13"/>
  <c r="M18" i="13"/>
  <c r="M19" i="13"/>
  <c r="M23" i="13"/>
  <c r="M24" i="13"/>
  <c r="M26" i="13"/>
  <c r="M27" i="13"/>
  <c r="M30" i="13"/>
  <c r="M31" i="13"/>
  <c r="M33" i="13"/>
  <c r="M34" i="13"/>
  <c r="M37" i="13"/>
  <c r="M38" i="13"/>
  <c r="M40" i="13"/>
  <c r="M41" i="13"/>
  <c r="M44" i="13"/>
  <c r="M45" i="13"/>
  <c r="M47" i="13"/>
  <c r="M48" i="13"/>
  <c r="M51" i="13"/>
  <c r="M52" i="13"/>
  <c r="M54" i="13"/>
  <c r="M55" i="13"/>
  <c r="M58" i="13"/>
  <c r="M59" i="13"/>
  <c r="M61" i="13"/>
  <c r="M62" i="13"/>
  <c r="M65" i="13"/>
  <c r="M66" i="13"/>
  <c r="M68" i="13"/>
  <c r="M69" i="13"/>
  <c r="M71" i="13"/>
  <c r="M72" i="13"/>
  <c r="M74" i="13"/>
  <c r="M75" i="13"/>
  <c r="M77" i="13"/>
  <c r="M78" i="13"/>
  <c r="M81" i="13"/>
  <c r="M82" i="13"/>
  <c r="M86" i="13"/>
  <c r="M87" i="13"/>
  <c r="M91" i="13"/>
  <c r="M92" i="13"/>
  <c r="M96" i="13"/>
  <c r="M97" i="13"/>
  <c r="M99" i="13"/>
  <c r="M100" i="13"/>
  <c r="M104" i="13"/>
  <c r="M105" i="13"/>
  <c r="M107" i="13"/>
  <c r="M108" i="13"/>
  <c r="M112" i="13"/>
  <c r="M113" i="13"/>
  <c r="M115" i="13"/>
  <c r="M116" i="13"/>
  <c r="M120" i="13"/>
  <c r="M121" i="13"/>
  <c r="M123" i="13"/>
  <c r="M124" i="13"/>
  <c r="M128" i="13"/>
  <c r="M129" i="13"/>
  <c r="M131" i="13"/>
  <c r="M132" i="13"/>
  <c r="M138" i="13"/>
  <c r="M139" i="13"/>
  <c r="M144" i="13"/>
  <c r="M145" i="13"/>
  <c r="M149" i="13"/>
  <c r="M150" i="13"/>
  <c r="M152" i="13"/>
  <c r="M153" i="13"/>
  <c r="M157" i="13"/>
  <c r="M158" i="13"/>
  <c r="M160" i="13"/>
  <c r="M161" i="13"/>
  <c r="M163" i="13"/>
  <c r="M164" i="13"/>
  <c r="M166" i="13"/>
  <c r="M167" i="13"/>
  <c r="M169" i="13"/>
  <c r="M170" i="13"/>
  <c r="M181" i="13"/>
  <c r="M182" i="13"/>
  <c r="M184" i="13"/>
  <c r="M185" i="13"/>
  <c r="M187" i="13"/>
  <c r="M188" i="13"/>
  <c r="M191" i="13"/>
  <c r="M192" i="13"/>
  <c r="M195" i="13"/>
  <c r="M196" i="13"/>
  <c r="M198" i="13"/>
  <c r="M199" i="13"/>
  <c r="M201" i="13"/>
  <c r="M202" i="13"/>
  <c r="M212" i="13"/>
  <c r="M213" i="13"/>
  <c r="M215" i="13"/>
  <c r="M216" i="13"/>
  <c r="M218" i="13"/>
  <c r="M219" i="13"/>
  <c r="F8" i="14" l="1"/>
  <c r="G220" i="15" l="1"/>
  <c r="F220" i="15"/>
  <c r="G217" i="15"/>
  <c r="F217" i="15"/>
  <c r="G214" i="15"/>
  <c r="F214" i="15"/>
  <c r="G200" i="15"/>
  <c r="F200" i="15"/>
  <c r="G197" i="15"/>
  <c r="F197" i="15"/>
  <c r="G193" i="15"/>
  <c r="F193" i="15"/>
  <c r="G189" i="15"/>
  <c r="F189" i="15"/>
  <c r="G186" i="15"/>
  <c r="F186" i="15"/>
  <c r="G183" i="15"/>
  <c r="F183" i="15"/>
  <c r="G168" i="15"/>
  <c r="F168" i="15"/>
  <c r="G165" i="15"/>
  <c r="F165" i="15"/>
  <c r="G162" i="15"/>
  <c r="F162" i="15"/>
  <c r="G159" i="15"/>
  <c r="F159" i="15"/>
  <c r="G154" i="15"/>
  <c r="F154" i="15"/>
  <c r="G151" i="15"/>
  <c r="F151" i="15"/>
  <c r="G146" i="15"/>
  <c r="F146" i="15"/>
  <c r="G140" i="15"/>
  <c r="F140" i="15"/>
  <c r="G133" i="15"/>
  <c r="F133" i="15"/>
  <c r="G130" i="15"/>
  <c r="F130" i="15"/>
  <c r="G125" i="15"/>
  <c r="F125" i="15"/>
  <c r="G122" i="15"/>
  <c r="F122" i="15"/>
  <c r="G117" i="15"/>
  <c r="F117" i="15"/>
  <c r="G114" i="15"/>
  <c r="F114" i="15"/>
  <c r="G109" i="15"/>
  <c r="F109" i="15"/>
  <c r="G106" i="15"/>
  <c r="F106" i="15"/>
  <c r="G101" i="15"/>
  <c r="F101" i="15"/>
  <c r="G98" i="15"/>
  <c r="F98" i="15"/>
  <c r="G93" i="15"/>
  <c r="F93" i="15"/>
  <c r="G88" i="15"/>
  <c r="F88" i="15"/>
  <c r="G83" i="15"/>
  <c r="F83" i="15"/>
  <c r="G76" i="15"/>
  <c r="F76" i="15"/>
  <c r="G73" i="15"/>
  <c r="F73" i="15"/>
  <c r="G70" i="15"/>
  <c r="F70" i="15"/>
  <c r="G67" i="15"/>
  <c r="F67" i="15"/>
  <c r="G63" i="15"/>
  <c r="F63" i="15"/>
  <c r="G60" i="15"/>
  <c r="F60" i="15"/>
  <c r="G56" i="15"/>
  <c r="F56" i="15"/>
  <c r="G53" i="15"/>
  <c r="F53" i="15"/>
  <c r="G49" i="15"/>
  <c r="F49" i="15"/>
  <c r="G46" i="15"/>
  <c r="F46" i="15"/>
  <c r="G42" i="15"/>
  <c r="F42" i="15"/>
  <c r="G39" i="15"/>
  <c r="F39" i="15"/>
  <c r="G35" i="15"/>
  <c r="F35" i="15"/>
  <c r="G32" i="15"/>
  <c r="F32" i="15"/>
  <c r="G28" i="15"/>
  <c r="F28" i="15"/>
  <c r="G25" i="15"/>
  <c r="F25" i="15"/>
  <c r="G20" i="15"/>
  <c r="F20" i="15"/>
  <c r="G17" i="15"/>
  <c r="F17" i="15"/>
  <c r="G13" i="15"/>
  <c r="F13" i="15"/>
  <c r="G8" i="15"/>
  <c r="F8" i="15"/>
  <c r="G220" i="13" l="1"/>
  <c r="F220" i="13"/>
  <c r="G217" i="13"/>
  <c r="F217" i="13"/>
  <c r="G214" i="13"/>
  <c r="F214" i="13"/>
  <c r="G200" i="13"/>
  <c r="F200" i="13"/>
  <c r="G197" i="13"/>
  <c r="F197" i="13"/>
  <c r="G193" i="13"/>
  <c r="F193" i="13"/>
  <c r="G189" i="13"/>
  <c r="F189" i="13"/>
  <c r="G186" i="13"/>
  <c r="F186" i="13"/>
  <c r="G183" i="13"/>
  <c r="F183" i="13"/>
  <c r="G168" i="13"/>
  <c r="F168" i="13"/>
  <c r="G165" i="13"/>
  <c r="F165" i="13"/>
  <c r="G162" i="13"/>
  <c r="F162" i="13"/>
  <c r="G159" i="13"/>
  <c r="F159" i="13"/>
  <c r="G154" i="13"/>
  <c r="F154" i="13"/>
  <c r="G151" i="13"/>
  <c r="F151" i="13"/>
  <c r="G146" i="13"/>
  <c r="F146" i="13"/>
  <c r="G140" i="13"/>
  <c r="F140" i="13"/>
  <c r="G133" i="13"/>
  <c r="F133" i="13"/>
  <c r="G130" i="13"/>
  <c r="F130" i="13"/>
  <c r="G125" i="13"/>
  <c r="F125" i="13"/>
  <c r="G122" i="13"/>
  <c r="F122" i="13"/>
  <c r="G117" i="13"/>
  <c r="F117" i="13"/>
  <c r="G114" i="13"/>
  <c r="F114" i="13"/>
  <c r="G109" i="13"/>
  <c r="F109" i="13"/>
  <c r="G106" i="13"/>
  <c r="F106" i="13"/>
  <c r="G101" i="13"/>
  <c r="F101" i="13"/>
  <c r="G98" i="13"/>
  <c r="F98" i="13"/>
  <c r="G93" i="13"/>
  <c r="F93" i="13"/>
  <c r="G88" i="13"/>
  <c r="F88" i="13"/>
  <c r="G83" i="13"/>
  <c r="F83" i="13"/>
  <c r="G76" i="13"/>
  <c r="F76" i="13"/>
  <c r="G73" i="13"/>
  <c r="F73" i="13"/>
  <c r="G70" i="13"/>
  <c r="F70" i="13"/>
  <c r="G67" i="13"/>
  <c r="F67" i="13"/>
  <c r="G63" i="13"/>
  <c r="F63" i="13"/>
  <c r="G60" i="13"/>
  <c r="F60" i="13"/>
  <c r="G56" i="13"/>
  <c r="F56" i="13"/>
  <c r="G53" i="13"/>
  <c r="F53" i="13"/>
  <c r="G49" i="13"/>
  <c r="F49" i="13"/>
  <c r="G46" i="13"/>
  <c r="F46" i="13"/>
  <c r="G42" i="13"/>
  <c r="F42" i="13"/>
  <c r="G39" i="13"/>
  <c r="F39" i="13"/>
  <c r="G35" i="13"/>
  <c r="F35" i="13"/>
  <c r="G32" i="13"/>
  <c r="F32" i="13"/>
  <c r="G28" i="13"/>
  <c r="F28" i="13"/>
  <c r="G25" i="13"/>
  <c r="F25" i="13"/>
  <c r="G20" i="13"/>
  <c r="F20" i="13"/>
  <c r="G17" i="13"/>
  <c r="F17" i="13"/>
  <c r="G13" i="13"/>
  <c r="F13" i="13"/>
  <c r="G8" i="13"/>
  <c r="F8" i="13"/>
  <c r="L6" i="13" l="1"/>
  <c r="L7" i="13"/>
  <c r="L11" i="13"/>
  <c r="L12" i="13"/>
  <c r="L15" i="13"/>
  <c r="L16" i="13"/>
  <c r="L18" i="13"/>
  <c r="L19" i="13"/>
  <c r="L23" i="13"/>
  <c r="L24" i="13"/>
  <c r="L26" i="13"/>
  <c r="L27" i="13"/>
  <c r="L30" i="13"/>
  <c r="L31" i="13"/>
  <c r="L33" i="13"/>
  <c r="L34" i="13"/>
  <c r="L37" i="13"/>
  <c r="L38" i="13"/>
  <c r="L40" i="13"/>
  <c r="L41" i="13"/>
  <c r="L44" i="13"/>
  <c r="L45" i="13"/>
  <c r="L47" i="13"/>
  <c r="L48" i="13"/>
  <c r="L51" i="13"/>
  <c r="L52" i="13"/>
  <c r="L54" i="13"/>
  <c r="L55" i="13"/>
  <c r="L58" i="13"/>
  <c r="L59" i="13"/>
  <c r="L61" i="13"/>
  <c r="L62" i="13"/>
  <c r="L65" i="13"/>
  <c r="L66" i="13"/>
  <c r="L68" i="13"/>
  <c r="L69" i="13"/>
  <c r="L71" i="13"/>
  <c r="L72" i="13"/>
  <c r="L74" i="13"/>
  <c r="L75" i="13"/>
  <c r="L77" i="13"/>
  <c r="L78" i="13"/>
  <c r="L81" i="13"/>
  <c r="L82" i="13"/>
  <c r="L86" i="13"/>
  <c r="L87" i="13"/>
  <c r="L91" i="13"/>
  <c r="L92" i="13"/>
  <c r="L96" i="13"/>
  <c r="L97" i="13"/>
  <c r="L99" i="13"/>
  <c r="L100" i="13"/>
  <c r="L104" i="13"/>
  <c r="L105" i="13"/>
  <c r="L107" i="13"/>
  <c r="L108" i="13"/>
  <c r="L112" i="13"/>
  <c r="L113" i="13"/>
  <c r="L115" i="13"/>
  <c r="L116" i="13"/>
  <c r="L120" i="13"/>
  <c r="L121" i="13"/>
  <c r="L123" i="13"/>
  <c r="L124" i="13"/>
  <c r="L128" i="13"/>
  <c r="L129" i="13"/>
  <c r="L131" i="13"/>
  <c r="L132" i="13"/>
  <c r="L138" i="13"/>
  <c r="L139" i="13"/>
  <c r="L144" i="13"/>
  <c r="L145" i="13"/>
  <c r="L149" i="13"/>
  <c r="L150" i="13"/>
  <c r="L152" i="13"/>
  <c r="L153" i="13"/>
  <c r="L157" i="13"/>
  <c r="L158" i="13"/>
  <c r="L160" i="13"/>
  <c r="L161" i="13"/>
  <c r="L163" i="13"/>
  <c r="L164" i="13"/>
  <c r="L166" i="13"/>
  <c r="L167" i="13"/>
  <c r="L169" i="13"/>
  <c r="L170" i="13"/>
  <c r="L181" i="13"/>
  <c r="L182" i="13"/>
  <c r="L184" i="13"/>
  <c r="L185" i="13"/>
  <c r="L187" i="13"/>
  <c r="L188" i="13"/>
  <c r="L191" i="13"/>
  <c r="L192" i="13"/>
  <c r="L195" i="13"/>
  <c r="L196" i="13"/>
  <c r="L198" i="13"/>
  <c r="L199" i="13"/>
  <c r="L201" i="13"/>
  <c r="L202" i="13"/>
  <c r="L212" i="13"/>
  <c r="L213" i="13"/>
  <c r="L215" i="13"/>
  <c r="L216" i="13"/>
  <c r="L218" i="13"/>
  <c r="L219" i="13"/>
  <c r="L6" i="14"/>
  <c r="L7" i="14"/>
  <c r="L11" i="14"/>
  <c r="L12" i="14"/>
  <c r="L15" i="14"/>
  <c r="L16" i="14"/>
  <c r="L18" i="14"/>
  <c r="L19" i="14"/>
  <c r="L23" i="14"/>
  <c r="L24" i="14"/>
  <c r="L26" i="14"/>
  <c r="L27" i="14"/>
  <c r="L30" i="14"/>
  <c r="L31" i="14"/>
  <c r="L33" i="14"/>
  <c r="L34" i="14"/>
  <c r="L37" i="14"/>
  <c r="L38" i="14"/>
  <c r="L40" i="14"/>
  <c r="L41" i="14"/>
  <c r="L44" i="14"/>
  <c r="L45" i="14"/>
  <c r="L47" i="14"/>
  <c r="L48" i="14"/>
  <c r="L51" i="14"/>
  <c r="L52" i="14"/>
  <c r="L54" i="14"/>
  <c r="L55" i="14"/>
  <c r="L58" i="14"/>
  <c r="L59" i="14"/>
  <c r="L61" i="14"/>
  <c r="L62" i="14"/>
  <c r="L65" i="14"/>
  <c r="L66" i="14"/>
  <c r="L68" i="14"/>
  <c r="L69" i="14"/>
  <c r="L71" i="14"/>
  <c r="L72" i="14"/>
  <c r="L74" i="14"/>
  <c r="L75" i="14"/>
  <c r="L77" i="14"/>
  <c r="L78" i="14"/>
  <c r="L81" i="14"/>
  <c r="L82" i="14"/>
  <c r="L86" i="14"/>
  <c r="L87" i="14"/>
  <c r="L91" i="14"/>
  <c r="L92" i="14"/>
  <c r="L96" i="14"/>
  <c r="L97" i="14"/>
  <c r="L99" i="14"/>
  <c r="L100" i="14"/>
  <c r="L104" i="14"/>
  <c r="L105" i="14"/>
  <c r="L107" i="14"/>
  <c r="L108" i="14"/>
  <c r="L112" i="14"/>
  <c r="L113" i="14"/>
  <c r="L115" i="14"/>
  <c r="L116" i="14"/>
  <c r="L120" i="14"/>
  <c r="L121" i="14"/>
  <c r="L123" i="14"/>
  <c r="L124" i="14"/>
  <c r="L128" i="14"/>
  <c r="L129" i="14"/>
  <c r="L131" i="14"/>
  <c r="L132" i="14"/>
  <c r="L138" i="14"/>
  <c r="L139" i="14"/>
  <c r="L144" i="14"/>
  <c r="L145" i="14"/>
  <c r="L149" i="14"/>
  <c r="L150" i="14"/>
  <c r="L152" i="14"/>
  <c r="L153" i="14"/>
  <c r="L157" i="14"/>
  <c r="L158" i="14"/>
  <c r="L160" i="14"/>
  <c r="L161" i="14"/>
  <c r="L163" i="14"/>
  <c r="L164" i="14"/>
  <c r="L166" i="14"/>
  <c r="L167" i="14"/>
  <c r="L169" i="14"/>
  <c r="L170" i="14"/>
  <c r="L181" i="14"/>
  <c r="L182" i="14"/>
  <c r="L184" i="14"/>
  <c r="L185" i="14"/>
  <c r="L187" i="14"/>
  <c r="L188" i="14"/>
  <c r="L191" i="14"/>
  <c r="L192" i="14"/>
  <c r="L195" i="14"/>
  <c r="L196" i="14"/>
  <c r="L198" i="14"/>
  <c r="L199" i="14"/>
  <c r="L201" i="14"/>
  <c r="L202" i="14"/>
  <c r="L212" i="14"/>
  <c r="L213" i="14"/>
  <c r="L215" i="14"/>
  <c r="L216" i="14"/>
  <c r="L218" i="14"/>
  <c r="L219" i="14"/>
  <c r="L7" i="15"/>
  <c r="L11" i="15"/>
  <c r="L12" i="15"/>
  <c r="L15" i="15"/>
  <c r="L16" i="15"/>
  <c r="L18" i="15"/>
  <c r="L19" i="15"/>
  <c r="L23" i="15"/>
  <c r="L24" i="15"/>
  <c r="L26" i="15"/>
  <c r="L27" i="15"/>
  <c r="L30" i="15"/>
  <c r="L31" i="15"/>
  <c r="L33" i="15"/>
  <c r="L34" i="15"/>
  <c r="L37" i="15"/>
  <c r="L38" i="15"/>
  <c r="L40" i="15"/>
  <c r="L41" i="15"/>
  <c r="L44" i="15"/>
  <c r="L45" i="15"/>
  <c r="L47" i="15"/>
  <c r="L48" i="15"/>
  <c r="L51" i="15"/>
  <c r="L52" i="15"/>
  <c r="L54" i="15"/>
  <c r="L55" i="15"/>
  <c r="L58" i="15"/>
  <c r="L59" i="15"/>
  <c r="L61" i="15"/>
  <c r="L62" i="15"/>
  <c r="L65" i="15"/>
  <c r="L66" i="15"/>
  <c r="L68" i="15"/>
  <c r="L69" i="15"/>
  <c r="L71" i="15"/>
  <c r="L72" i="15"/>
  <c r="L74" i="15"/>
  <c r="L75" i="15"/>
  <c r="L77" i="15"/>
  <c r="L78" i="15"/>
  <c r="L81" i="15"/>
  <c r="L82" i="15"/>
  <c r="L86" i="15"/>
  <c r="L87" i="15"/>
  <c r="L91" i="15"/>
  <c r="L92" i="15"/>
  <c r="L96" i="15"/>
  <c r="L97" i="15"/>
  <c r="L99" i="15"/>
  <c r="L100" i="15"/>
  <c r="L104" i="15"/>
  <c r="L105" i="15"/>
  <c r="L107" i="15"/>
  <c r="L108" i="15"/>
  <c r="L112" i="15"/>
  <c r="L113" i="15"/>
  <c r="L115" i="15"/>
  <c r="L116" i="15"/>
  <c r="L120" i="15"/>
  <c r="L121" i="15"/>
  <c r="L123" i="15"/>
  <c r="L124" i="15"/>
  <c r="L128" i="15"/>
  <c r="L129" i="15"/>
  <c r="L131" i="15"/>
  <c r="L132" i="15"/>
  <c r="L138" i="15"/>
  <c r="L139" i="15"/>
  <c r="L144" i="15"/>
  <c r="L145" i="15"/>
  <c r="L149" i="15"/>
  <c r="L150" i="15"/>
  <c r="L152" i="15"/>
  <c r="L153" i="15"/>
  <c r="L157" i="15"/>
  <c r="L158" i="15"/>
  <c r="L160" i="15"/>
  <c r="L161" i="15"/>
  <c r="L163" i="15"/>
  <c r="L164" i="15"/>
  <c r="L166" i="15"/>
  <c r="L167" i="15"/>
  <c r="L169" i="15"/>
  <c r="L170" i="15"/>
  <c r="L181" i="15"/>
  <c r="L182" i="15"/>
  <c r="L184" i="15"/>
  <c r="L185" i="15"/>
  <c r="L187" i="15"/>
  <c r="L188" i="15"/>
  <c r="L191" i="15"/>
  <c r="L192" i="15"/>
  <c r="L195" i="15"/>
  <c r="L196" i="15"/>
  <c r="L198" i="15"/>
  <c r="L199" i="15"/>
  <c r="L201" i="15"/>
  <c r="L202" i="15"/>
  <c r="L212" i="15"/>
  <c r="L213" i="15"/>
  <c r="L215" i="15"/>
  <c r="L216" i="15"/>
  <c r="L218" i="15"/>
  <c r="L219" i="15"/>
  <c r="L6" i="15"/>
  <c r="E78" i="14" l="1"/>
  <c r="E81" i="14"/>
  <c r="E86" i="14"/>
  <c r="E91" i="14"/>
  <c r="E138" i="14"/>
  <c r="E144" i="14"/>
  <c r="E170" i="14"/>
  <c r="E202" i="14"/>
  <c r="E202" i="15" l="1"/>
  <c r="E170" i="15"/>
  <c r="E78" i="15"/>
  <c r="H210" i="15"/>
  <c r="I210" i="15" s="1"/>
  <c r="H208" i="15"/>
  <c r="I208" i="15" s="1"/>
  <c r="H207" i="15"/>
  <c r="I207" i="15" s="1"/>
  <c r="H206" i="15"/>
  <c r="I206" i="15" s="1"/>
  <c r="H177" i="15"/>
  <c r="I177" i="15" s="1"/>
  <c r="H176" i="15"/>
  <c r="I176" i="15" s="1"/>
  <c r="H175" i="15"/>
  <c r="I175" i="15" s="1"/>
  <c r="E222" i="14"/>
  <c r="G220" i="14"/>
  <c r="F220" i="14"/>
  <c r="G217" i="14"/>
  <c r="F217" i="14"/>
  <c r="G214" i="14"/>
  <c r="F214" i="14"/>
  <c r="H211" i="14"/>
  <c r="I211" i="14" s="1"/>
  <c r="H210" i="14"/>
  <c r="I210" i="14" s="1"/>
  <c r="H209" i="14"/>
  <c r="I209" i="14" s="1"/>
  <c r="H208" i="14"/>
  <c r="I208" i="14" s="1"/>
  <c r="H207" i="14"/>
  <c r="I207" i="14" s="1"/>
  <c r="H206" i="14"/>
  <c r="I206" i="14" s="1"/>
  <c r="H205" i="14"/>
  <c r="I205" i="14" s="1"/>
  <c r="H204" i="14"/>
  <c r="I204" i="14" s="1"/>
  <c r="H203" i="14"/>
  <c r="I203" i="14" s="1"/>
  <c r="G200" i="14"/>
  <c r="F200" i="14"/>
  <c r="G197" i="14"/>
  <c r="F197" i="14"/>
  <c r="H194" i="14"/>
  <c r="I194" i="14" s="1"/>
  <c r="G193" i="14"/>
  <c r="F193" i="14"/>
  <c r="H190" i="14"/>
  <c r="I190" i="14" s="1"/>
  <c r="G189" i="14"/>
  <c r="F189" i="14"/>
  <c r="G186" i="14"/>
  <c r="F186" i="14"/>
  <c r="G183" i="14"/>
  <c r="F183" i="14"/>
  <c r="H180" i="14"/>
  <c r="I180" i="14" s="1"/>
  <c r="H179" i="14"/>
  <c r="I179" i="14" s="1"/>
  <c r="H178" i="14"/>
  <c r="I178" i="14" s="1"/>
  <c r="H177" i="14"/>
  <c r="I177" i="14" s="1"/>
  <c r="H176" i="14"/>
  <c r="I176" i="14" s="1"/>
  <c r="H175" i="14"/>
  <c r="I175" i="14" s="1"/>
  <c r="H174" i="14"/>
  <c r="I174" i="14" s="1"/>
  <c r="H173" i="14"/>
  <c r="I173" i="14" s="1"/>
  <c r="H172" i="14"/>
  <c r="I172" i="14" s="1"/>
  <c r="H171" i="14"/>
  <c r="I171" i="14" s="1"/>
  <c r="G168" i="14"/>
  <c r="F168" i="14"/>
  <c r="G165" i="14"/>
  <c r="F165" i="14"/>
  <c r="G162" i="14"/>
  <c r="F162" i="14"/>
  <c r="G159" i="14"/>
  <c r="F159" i="14"/>
  <c r="H156" i="14"/>
  <c r="I156" i="14" s="1"/>
  <c r="H155" i="14"/>
  <c r="I155" i="14" s="1"/>
  <c r="G154" i="14"/>
  <c r="F154" i="14"/>
  <c r="G151" i="14"/>
  <c r="F151" i="14"/>
  <c r="H148" i="14"/>
  <c r="I148" i="14" s="1"/>
  <c r="H147" i="14"/>
  <c r="I147" i="14" s="1"/>
  <c r="G146" i="14"/>
  <c r="F146" i="14"/>
  <c r="H143" i="14"/>
  <c r="I143" i="14" s="1"/>
  <c r="H142" i="14"/>
  <c r="I142" i="14" s="1"/>
  <c r="H141" i="14"/>
  <c r="I141" i="14" s="1"/>
  <c r="G140" i="14"/>
  <c r="F140" i="14"/>
  <c r="H137" i="14"/>
  <c r="I137" i="14" s="1"/>
  <c r="H136" i="14"/>
  <c r="I136" i="14" s="1"/>
  <c r="H135" i="14"/>
  <c r="I135" i="14" s="1"/>
  <c r="H134" i="14"/>
  <c r="I134" i="14" s="1"/>
  <c r="G133" i="14"/>
  <c r="F133" i="14"/>
  <c r="G130" i="14"/>
  <c r="F130" i="14"/>
  <c r="H127" i="14"/>
  <c r="I127" i="14" s="1"/>
  <c r="H126" i="14"/>
  <c r="I126" i="14" s="1"/>
  <c r="G125" i="14"/>
  <c r="F125" i="14"/>
  <c r="G122" i="14"/>
  <c r="F122" i="14"/>
  <c r="H119" i="14"/>
  <c r="I119" i="14" s="1"/>
  <c r="H118" i="14"/>
  <c r="I118" i="14" s="1"/>
  <c r="G117" i="14"/>
  <c r="F117" i="14"/>
  <c r="G114" i="14"/>
  <c r="F114" i="14"/>
  <c r="H111" i="14"/>
  <c r="I111" i="14" s="1"/>
  <c r="H110" i="14"/>
  <c r="I110" i="14" s="1"/>
  <c r="G109" i="14"/>
  <c r="F109" i="14"/>
  <c r="G106" i="14"/>
  <c r="F106" i="14"/>
  <c r="H103" i="14"/>
  <c r="I103" i="14" s="1"/>
  <c r="H102" i="14"/>
  <c r="I102" i="14" s="1"/>
  <c r="G101" i="14"/>
  <c r="F101" i="14"/>
  <c r="G98" i="14"/>
  <c r="F98" i="14"/>
  <c r="H95" i="14"/>
  <c r="I95" i="14" s="1"/>
  <c r="H94" i="14"/>
  <c r="I94" i="14" s="1"/>
  <c r="G93" i="14"/>
  <c r="F93" i="14"/>
  <c r="H90" i="14"/>
  <c r="I90" i="14" s="1"/>
  <c r="H89" i="14"/>
  <c r="I89" i="14" s="1"/>
  <c r="G88" i="14"/>
  <c r="F88" i="14"/>
  <c r="H85" i="14"/>
  <c r="I85" i="14" s="1"/>
  <c r="H84" i="14"/>
  <c r="I84" i="14" s="1"/>
  <c r="G83" i="14"/>
  <c r="F83" i="14"/>
  <c r="H80" i="14"/>
  <c r="I80" i="14" s="1"/>
  <c r="H79" i="14"/>
  <c r="I79" i="14" s="1"/>
  <c r="G76" i="14"/>
  <c r="F76" i="14"/>
  <c r="G73" i="14"/>
  <c r="F73" i="14"/>
  <c r="G70" i="14"/>
  <c r="F70" i="14"/>
  <c r="G67" i="14"/>
  <c r="F67" i="14"/>
  <c r="H64" i="14"/>
  <c r="I64" i="14" s="1"/>
  <c r="G63" i="14"/>
  <c r="F63" i="14"/>
  <c r="G60" i="14"/>
  <c r="F60" i="14"/>
  <c r="H57" i="14"/>
  <c r="I57" i="14" s="1"/>
  <c r="G56" i="14"/>
  <c r="F56" i="14"/>
  <c r="G53" i="14"/>
  <c r="F53" i="14"/>
  <c r="H50" i="14"/>
  <c r="I50" i="14" s="1"/>
  <c r="G49" i="14"/>
  <c r="F49" i="14"/>
  <c r="G46" i="14"/>
  <c r="F46" i="14"/>
  <c r="H43" i="14"/>
  <c r="I43" i="14" s="1"/>
  <c r="G42" i="14"/>
  <c r="F42" i="14"/>
  <c r="G39" i="14"/>
  <c r="F39" i="14"/>
  <c r="H36" i="14"/>
  <c r="I36" i="14" s="1"/>
  <c r="G35" i="14"/>
  <c r="F35" i="14"/>
  <c r="G32" i="14"/>
  <c r="F32" i="14"/>
  <c r="H29" i="14"/>
  <c r="I29" i="14" s="1"/>
  <c r="G28" i="14"/>
  <c r="F28" i="14"/>
  <c r="G25" i="14"/>
  <c r="F25" i="14"/>
  <c r="H22" i="14"/>
  <c r="I22" i="14" s="1"/>
  <c r="H21" i="14"/>
  <c r="I21" i="14" s="1"/>
  <c r="G20" i="14"/>
  <c r="F20" i="14"/>
  <c r="G17" i="14"/>
  <c r="F17" i="14"/>
  <c r="H14" i="14"/>
  <c r="I14" i="14" s="1"/>
  <c r="G13" i="14"/>
  <c r="F13" i="14"/>
  <c r="H10" i="14"/>
  <c r="I10" i="14" s="1"/>
  <c r="H9" i="14"/>
  <c r="I9" i="14" s="1"/>
  <c r="G8" i="14"/>
  <c r="H5" i="14"/>
  <c r="I5" i="14" s="1"/>
  <c r="E222" i="15"/>
  <c r="H220" i="15"/>
  <c r="I220" i="15" s="1"/>
  <c r="H217" i="15"/>
  <c r="I217" i="15" s="1"/>
  <c r="H211" i="15"/>
  <c r="I211" i="15" s="1"/>
  <c r="H209" i="15"/>
  <c r="I209" i="15" s="1"/>
  <c r="H205" i="15"/>
  <c r="I205" i="15" s="1"/>
  <c r="H204" i="15"/>
  <c r="I204" i="15" s="1"/>
  <c r="H203" i="15"/>
  <c r="I203" i="15" s="1"/>
  <c r="H200" i="15"/>
  <c r="I200" i="15" s="1"/>
  <c r="H197" i="15"/>
  <c r="I197" i="15" s="1"/>
  <c r="H194" i="15"/>
  <c r="I194" i="15" s="1"/>
  <c r="H193" i="15"/>
  <c r="I193" i="15" s="1"/>
  <c r="H190" i="15"/>
  <c r="I190" i="15" s="1"/>
  <c r="H186" i="15"/>
  <c r="I186" i="15" s="1"/>
  <c r="H180" i="15"/>
  <c r="I180" i="15" s="1"/>
  <c r="H179" i="15"/>
  <c r="I179" i="15" s="1"/>
  <c r="H178" i="15"/>
  <c r="I178" i="15" s="1"/>
  <c r="H174" i="15"/>
  <c r="I174" i="15" s="1"/>
  <c r="H173" i="15"/>
  <c r="I173" i="15" s="1"/>
  <c r="H172" i="15"/>
  <c r="I172" i="15" s="1"/>
  <c r="H171" i="15"/>
  <c r="I171" i="15" s="1"/>
  <c r="H168" i="15"/>
  <c r="I168" i="15" s="1"/>
  <c r="H165" i="15"/>
  <c r="I165" i="15" s="1"/>
  <c r="H162" i="15"/>
  <c r="I162" i="15" s="1"/>
  <c r="H159" i="15"/>
  <c r="I159" i="15" s="1"/>
  <c r="H156" i="15"/>
  <c r="I156" i="15" s="1"/>
  <c r="H155" i="15"/>
  <c r="I155" i="15" s="1"/>
  <c r="H154" i="15"/>
  <c r="I154" i="15" s="1"/>
  <c r="H151" i="15"/>
  <c r="I151" i="15" s="1"/>
  <c r="H148" i="15"/>
  <c r="I148" i="15" s="1"/>
  <c r="H147" i="15"/>
  <c r="I147" i="15" s="1"/>
  <c r="H146" i="15"/>
  <c r="I146" i="15" s="1"/>
  <c r="H143" i="15"/>
  <c r="I143" i="15" s="1"/>
  <c r="H142" i="15"/>
  <c r="I142" i="15" s="1"/>
  <c r="H141" i="15"/>
  <c r="I141" i="15" s="1"/>
  <c r="H140" i="15"/>
  <c r="I140" i="15" s="1"/>
  <c r="H137" i="15"/>
  <c r="I137" i="15" s="1"/>
  <c r="H136" i="15"/>
  <c r="I136" i="15" s="1"/>
  <c r="H135" i="15"/>
  <c r="I135" i="15" s="1"/>
  <c r="H134" i="15"/>
  <c r="I134" i="15" s="1"/>
  <c r="H133" i="15"/>
  <c r="I133" i="15" s="1"/>
  <c r="H130" i="15"/>
  <c r="I130" i="15" s="1"/>
  <c r="H127" i="15"/>
  <c r="I127" i="15" s="1"/>
  <c r="H126" i="15"/>
  <c r="I126" i="15" s="1"/>
  <c r="H125" i="15"/>
  <c r="I125" i="15" s="1"/>
  <c r="H122" i="15"/>
  <c r="I122" i="15" s="1"/>
  <c r="H119" i="15"/>
  <c r="I119" i="15" s="1"/>
  <c r="H118" i="15"/>
  <c r="I118" i="15" s="1"/>
  <c r="H117" i="15"/>
  <c r="I117" i="15" s="1"/>
  <c r="H114" i="15"/>
  <c r="I114" i="15" s="1"/>
  <c r="H111" i="15"/>
  <c r="I111" i="15" s="1"/>
  <c r="H110" i="15"/>
  <c r="I110" i="15" s="1"/>
  <c r="H109" i="15"/>
  <c r="I109" i="15" s="1"/>
  <c r="H103" i="15"/>
  <c r="I103" i="15" s="1"/>
  <c r="H102" i="15"/>
  <c r="I102" i="15" s="1"/>
  <c r="H101" i="15"/>
  <c r="I101" i="15" s="1"/>
  <c r="H98" i="15"/>
  <c r="I98" i="15" s="1"/>
  <c r="H95" i="15"/>
  <c r="I95" i="15" s="1"/>
  <c r="H94" i="15"/>
  <c r="I94" i="15" s="1"/>
  <c r="H93" i="15"/>
  <c r="I93" i="15" s="1"/>
  <c r="H90" i="15"/>
  <c r="I90" i="15" s="1"/>
  <c r="H89" i="15"/>
  <c r="I89" i="15" s="1"/>
  <c r="H85" i="15"/>
  <c r="I85" i="15" s="1"/>
  <c r="H84" i="15"/>
  <c r="I84" i="15" s="1"/>
  <c r="H80" i="15"/>
  <c r="I80" i="15" s="1"/>
  <c r="H79" i="15"/>
  <c r="I79" i="15" s="1"/>
  <c r="H76" i="15"/>
  <c r="I76" i="15" s="1"/>
  <c r="H73" i="15"/>
  <c r="I73" i="15" s="1"/>
  <c r="H70" i="15"/>
  <c r="I70" i="15" s="1"/>
  <c r="H67" i="15"/>
  <c r="I67" i="15" s="1"/>
  <c r="H64" i="15"/>
  <c r="I64" i="15" s="1"/>
  <c r="H63" i="15"/>
  <c r="I63" i="15" s="1"/>
  <c r="H60" i="15"/>
  <c r="I60" i="15" s="1"/>
  <c r="H57" i="15"/>
  <c r="I57" i="15" s="1"/>
  <c r="H50" i="15"/>
  <c r="I50" i="15" s="1"/>
  <c r="H46" i="15"/>
  <c r="I46" i="15" s="1"/>
  <c r="H43" i="15"/>
  <c r="I43" i="15" s="1"/>
  <c r="H39" i="15"/>
  <c r="I39" i="15" s="1"/>
  <c r="H36" i="15"/>
  <c r="I36" i="15" s="1"/>
  <c r="H35" i="15"/>
  <c r="I35" i="15" s="1"/>
  <c r="H32" i="15"/>
  <c r="I32" i="15" s="1"/>
  <c r="H29" i="15"/>
  <c r="I29" i="15" s="1"/>
  <c r="H25" i="15"/>
  <c r="I25" i="15" s="1"/>
  <c r="H22" i="15"/>
  <c r="I22" i="15" s="1"/>
  <c r="H21" i="15"/>
  <c r="I21" i="15" s="1"/>
  <c r="H17" i="15"/>
  <c r="I17" i="15" s="1"/>
  <c r="H14" i="15"/>
  <c r="I14" i="15" s="1"/>
  <c r="H13" i="15"/>
  <c r="I13" i="15" s="1"/>
  <c r="H10" i="15"/>
  <c r="I10" i="15" s="1"/>
  <c r="H9" i="15"/>
  <c r="I9" i="15" s="1"/>
  <c r="H5" i="15"/>
  <c r="I5" i="15" s="1"/>
  <c r="E222" i="13"/>
  <c r="H220" i="13"/>
  <c r="I220" i="13" s="1"/>
  <c r="H214" i="13"/>
  <c r="I214" i="13" s="1"/>
  <c r="H211" i="13"/>
  <c r="I211" i="13" s="1"/>
  <c r="H210" i="13"/>
  <c r="I210" i="13" s="1"/>
  <c r="H209" i="13"/>
  <c r="I209" i="13" s="1"/>
  <c r="H208" i="13"/>
  <c r="I208" i="13" s="1"/>
  <c r="H207" i="13"/>
  <c r="I207" i="13" s="1"/>
  <c r="H206" i="13"/>
  <c r="I206" i="13" s="1"/>
  <c r="H205" i="13"/>
  <c r="I205" i="13" s="1"/>
  <c r="H204" i="13"/>
  <c r="I204" i="13" s="1"/>
  <c r="H203" i="13"/>
  <c r="I203" i="13" s="1"/>
  <c r="E202" i="13"/>
  <c r="H197" i="13"/>
  <c r="H194" i="13"/>
  <c r="H193" i="13"/>
  <c r="I193" i="13" s="1"/>
  <c r="H190" i="13"/>
  <c r="I190" i="13" s="1"/>
  <c r="H189" i="13"/>
  <c r="I189" i="13" s="1"/>
  <c r="H186" i="13"/>
  <c r="I186" i="13" s="1"/>
  <c r="H183" i="13"/>
  <c r="I183" i="13" s="1"/>
  <c r="H180" i="13"/>
  <c r="I180" i="13" s="1"/>
  <c r="H179" i="13"/>
  <c r="I179" i="13" s="1"/>
  <c r="H178" i="13"/>
  <c r="I178" i="13" s="1"/>
  <c r="H177" i="13"/>
  <c r="I177" i="13" s="1"/>
  <c r="H176" i="13"/>
  <c r="I176" i="13" s="1"/>
  <c r="H175" i="13"/>
  <c r="I175" i="13" s="1"/>
  <c r="H174" i="13"/>
  <c r="I174" i="13" s="1"/>
  <c r="H173" i="13"/>
  <c r="I173" i="13" s="1"/>
  <c r="H172" i="13"/>
  <c r="I172" i="13" s="1"/>
  <c r="H171" i="13"/>
  <c r="I171" i="13" s="1"/>
  <c r="H168" i="13"/>
  <c r="H165" i="13"/>
  <c r="H162" i="13"/>
  <c r="H159" i="13"/>
  <c r="H156" i="13"/>
  <c r="H155" i="13"/>
  <c r="H154" i="13"/>
  <c r="H151" i="13"/>
  <c r="H148" i="13"/>
  <c r="H147" i="13"/>
  <c r="H146" i="13"/>
  <c r="E144" i="13"/>
  <c r="H143" i="13"/>
  <c r="H142" i="13"/>
  <c r="H141" i="13"/>
  <c r="H140" i="13"/>
  <c r="E138" i="13"/>
  <c r="H137" i="13"/>
  <c r="H136" i="13"/>
  <c r="H135" i="13"/>
  <c r="I135" i="13" s="1"/>
  <c r="H134" i="13"/>
  <c r="I134" i="13" s="1"/>
  <c r="H133" i="13"/>
  <c r="H130" i="13"/>
  <c r="H127" i="13"/>
  <c r="H126" i="13"/>
  <c r="H125" i="13"/>
  <c r="H122" i="13"/>
  <c r="H119" i="13"/>
  <c r="H118" i="13"/>
  <c r="H117" i="13"/>
  <c r="H114" i="13"/>
  <c r="H111" i="13"/>
  <c r="H110" i="13"/>
  <c r="H109" i="13"/>
  <c r="H106" i="13"/>
  <c r="H103" i="13"/>
  <c r="H102" i="13"/>
  <c r="H101" i="13"/>
  <c r="H98" i="13"/>
  <c r="H95" i="13"/>
  <c r="H94" i="13"/>
  <c r="H93" i="13"/>
  <c r="E91" i="13"/>
  <c r="H90" i="13"/>
  <c r="H89" i="13"/>
  <c r="H88" i="13"/>
  <c r="E86" i="13"/>
  <c r="H85" i="13"/>
  <c r="I85" i="13" s="1"/>
  <c r="H84" i="13"/>
  <c r="I84" i="13" s="1"/>
  <c r="H83" i="13"/>
  <c r="E81" i="13"/>
  <c r="H80" i="13"/>
  <c r="H79" i="13"/>
  <c r="E78" i="13"/>
  <c r="H76" i="13"/>
  <c r="H73" i="13"/>
  <c r="H70" i="13"/>
  <c r="H67" i="13"/>
  <c r="H64" i="13"/>
  <c r="H63" i="13"/>
  <c r="H60" i="13"/>
  <c r="H57" i="13"/>
  <c r="H56" i="13"/>
  <c r="H53" i="13"/>
  <c r="H50" i="13"/>
  <c r="H49" i="13"/>
  <c r="H46" i="13"/>
  <c r="H43" i="13"/>
  <c r="H42" i="13"/>
  <c r="H39" i="13"/>
  <c r="H36" i="13"/>
  <c r="H35" i="13"/>
  <c r="H32" i="13"/>
  <c r="I32" i="13" s="1"/>
  <c r="H29" i="13"/>
  <c r="I29" i="13" s="1"/>
  <c r="H28" i="13"/>
  <c r="H22" i="13"/>
  <c r="I22" i="13" s="1"/>
  <c r="H21" i="13"/>
  <c r="I21" i="13" s="1"/>
  <c r="H20" i="13"/>
  <c r="H14" i="13"/>
  <c r="I14" i="13" s="1"/>
  <c r="H13" i="13"/>
  <c r="I13" i="13" s="1"/>
  <c r="H10" i="13"/>
  <c r="I10" i="13" s="1"/>
  <c r="H9" i="13"/>
  <c r="I9" i="13" s="1"/>
  <c r="H8" i="13"/>
  <c r="I8" i="13" s="1"/>
  <c r="H5" i="13"/>
  <c r="I5" i="13" s="1"/>
  <c r="I57" i="13" l="1"/>
  <c r="I156" i="13"/>
  <c r="I80" i="13"/>
  <c r="I119" i="13"/>
  <c r="I28" i="13"/>
  <c r="I136" i="13"/>
  <c r="I49" i="13"/>
  <c r="I67" i="13"/>
  <c r="I83" i="13"/>
  <c r="I93" i="13"/>
  <c r="I109" i="13"/>
  <c r="I125" i="13"/>
  <c r="I137" i="13"/>
  <c r="I147" i="13"/>
  <c r="I165" i="13"/>
  <c r="I20" i="13"/>
  <c r="I42" i="13"/>
  <c r="I89" i="13"/>
  <c r="I143" i="13"/>
  <c r="I63" i="13"/>
  <c r="I103" i="13"/>
  <c r="I159" i="13"/>
  <c r="I46" i="13"/>
  <c r="I50" i="13"/>
  <c r="I70" i="13"/>
  <c r="I94" i="13"/>
  <c r="I110" i="13"/>
  <c r="I126" i="13"/>
  <c r="I148" i="13"/>
  <c r="I168" i="13"/>
  <c r="I194" i="13"/>
  <c r="I39" i="13"/>
  <c r="I101" i="13"/>
  <c r="I79" i="13"/>
  <c r="I118" i="13"/>
  <c r="I90" i="13"/>
  <c r="I64" i="13"/>
  <c r="I122" i="13"/>
  <c r="I162" i="13"/>
  <c r="I35" i="13"/>
  <c r="I53" i="13"/>
  <c r="I73" i="13"/>
  <c r="I95" i="13"/>
  <c r="I111" i="13"/>
  <c r="I127" i="13"/>
  <c r="I140" i="13"/>
  <c r="I151" i="13"/>
  <c r="I197" i="13"/>
  <c r="I60" i="13"/>
  <c r="I102" i="13"/>
  <c r="I43" i="13"/>
  <c r="I106" i="13"/>
  <c r="I36" i="13"/>
  <c r="I56" i="13"/>
  <c r="I76" i="13"/>
  <c r="I98" i="13"/>
  <c r="I114" i="13"/>
  <c r="I130" i="13"/>
  <c r="I141" i="13"/>
  <c r="I154" i="13"/>
  <c r="I117" i="13"/>
  <c r="I133" i="13"/>
  <c r="I142" i="13"/>
  <c r="I155" i="13"/>
  <c r="I146" i="13"/>
  <c r="I88" i="13"/>
  <c r="E170" i="13"/>
  <c r="H217" i="13"/>
  <c r="I217" i="13" s="1"/>
  <c r="I222" i="13" s="1"/>
  <c r="I221" i="13"/>
  <c r="H200" i="13"/>
  <c r="I200" i="13" s="1"/>
  <c r="H25" i="13"/>
  <c r="I25" i="13" s="1"/>
  <c r="H17" i="13"/>
  <c r="I17" i="13" s="1"/>
  <c r="H122" i="14"/>
  <c r="I122" i="14" s="1"/>
  <c r="H162" i="14"/>
  <c r="I162" i="14" s="1"/>
  <c r="H53" i="14"/>
  <c r="I53" i="14" s="1"/>
  <c r="H114" i="14"/>
  <c r="I114" i="14" s="1"/>
  <c r="H217" i="14"/>
  <c r="I217" i="14" s="1"/>
  <c r="H35" i="14"/>
  <c r="I35" i="14" s="1"/>
  <c r="H88" i="14"/>
  <c r="I88" i="14" s="1"/>
  <c r="H106" i="14"/>
  <c r="I106" i="14" s="1"/>
  <c r="H154" i="14"/>
  <c r="I154" i="14" s="1"/>
  <c r="H165" i="14"/>
  <c r="I165" i="14" s="1"/>
  <c r="H56" i="14"/>
  <c r="I56" i="14" s="1"/>
  <c r="H98" i="14"/>
  <c r="I98" i="14" s="1"/>
  <c r="H189" i="14"/>
  <c r="I189" i="14" s="1"/>
  <c r="H200" i="14"/>
  <c r="I200" i="14" s="1"/>
  <c r="H46" i="14"/>
  <c r="I46" i="14" s="1"/>
  <c r="H67" i="14"/>
  <c r="I67" i="14" s="1"/>
  <c r="H39" i="14"/>
  <c r="I39" i="14" s="1"/>
  <c r="H49" i="14"/>
  <c r="I49" i="14" s="1"/>
  <c r="H93" i="14"/>
  <c r="I93" i="14" s="1"/>
  <c r="H130" i="14"/>
  <c r="I130" i="14" s="1"/>
  <c r="H159" i="14"/>
  <c r="I159" i="14" s="1"/>
  <c r="H214" i="14"/>
  <c r="I214" i="14" s="1"/>
  <c r="H20" i="14"/>
  <c r="I20" i="14" s="1"/>
  <c r="H140" i="14"/>
  <c r="I140" i="14" s="1"/>
  <c r="H193" i="14"/>
  <c r="I193" i="14" s="1"/>
  <c r="H8" i="15"/>
  <c r="I8" i="15" s="1"/>
  <c r="H42" i="14"/>
  <c r="I42" i="14" s="1"/>
  <c r="H60" i="14"/>
  <c r="I60" i="14" s="1"/>
  <c r="H70" i="14"/>
  <c r="I70" i="14" s="1"/>
  <c r="H83" i="14"/>
  <c r="I83" i="14" s="1"/>
  <c r="H133" i="14"/>
  <c r="I133" i="14" s="1"/>
  <c r="H197" i="14"/>
  <c r="I197" i="14" s="1"/>
  <c r="H101" i="14"/>
  <c r="I101" i="14" s="1"/>
  <c r="H109" i="14"/>
  <c r="I109" i="14" s="1"/>
  <c r="H117" i="14"/>
  <c r="I117" i="14" s="1"/>
  <c r="H125" i="14"/>
  <c r="I125" i="14" s="1"/>
  <c r="H168" i="14"/>
  <c r="I168" i="14" s="1"/>
  <c r="H220" i="14"/>
  <c r="I220" i="14" s="1"/>
  <c r="H63" i="14"/>
  <c r="I63" i="14" s="1"/>
  <c r="H73" i="14"/>
  <c r="I73" i="14" s="1"/>
  <c r="H76" i="14"/>
  <c r="I76" i="14" s="1"/>
  <c r="H151" i="14"/>
  <c r="I151" i="14" s="1"/>
  <c r="H28" i="14"/>
  <c r="I28" i="14" s="1"/>
  <c r="H189" i="15"/>
  <c r="I189" i="15" s="1"/>
  <c r="H214" i="15"/>
  <c r="I214" i="15" s="1"/>
  <c r="I222" i="15" s="1"/>
  <c r="I221" i="15"/>
  <c r="H183" i="15"/>
  <c r="I183" i="15" s="1"/>
  <c r="H106" i="15"/>
  <c r="I106" i="15" s="1"/>
  <c r="H88" i="15"/>
  <c r="I88" i="15" s="1"/>
  <c r="H83" i="15"/>
  <c r="I83" i="15" s="1"/>
  <c r="H56" i="15"/>
  <c r="I56" i="15" s="1"/>
  <c r="H53" i="15"/>
  <c r="I53" i="15" s="1"/>
  <c r="H49" i="15"/>
  <c r="I49" i="15" s="1"/>
  <c r="H42" i="15"/>
  <c r="I42" i="15" s="1"/>
  <c r="H28" i="15"/>
  <c r="I28" i="15" s="1"/>
  <c r="H20" i="15"/>
  <c r="I20" i="15" s="1"/>
  <c r="H186" i="14"/>
  <c r="I186" i="14" s="1"/>
  <c r="H183" i="14"/>
  <c r="I183" i="14" s="1"/>
  <c r="H146" i="14"/>
  <c r="I146" i="14" s="1"/>
  <c r="H32" i="14"/>
  <c r="I32" i="14" s="1"/>
  <c r="H25" i="14"/>
  <c r="I25" i="14" s="1"/>
  <c r="H17" i="14"/>
  <c r="I17" i="14" s="1"/>
  <c r="H13" i="14"/>
  <c r="I13" i="14" s="1"/>
  <c r="I77" i="14"/>
  <c r="H8" i="14"/>
  <c r="I8" i="14" s="1"/>
  <c r="I201" i="14"/>
  <c r="I169" i="14"/>
  <c r="I221" i="14"/>
  <c r="I169" i="15"/>
  <c r="I201" i="15"/>
  <c r="I77" i="15"/>
  <c r="I201" i="13"/>
  <c r="I170" i="13" l="1"/>
  <c r="I169" i="13"/>
  <c r="I77" i="13"/>
  <c r="I202" i="13"/>
  <c r="I222" i="14"/>
  <c r="I78" i="13"/>
  <c r="I170" i="14"/>
  <c r="I202" i="15"/>
  <c r="I170" i="15"/>
  <c r="I78" i="15"/>
  <c r="I202" i="14"/>
  <c r="I78" i="14"/>
  <c r="I223" i="13" l="1"/>
  <c r="I225" i="13" s="1"/>
  <c r="I224" i="13" s="1"/>
  <c r="I223" i="14"/>
  <c r="I225" i="14" s="1"/>
  <c r="I224" i="14" s="1"/>
  <c r="I223" i="15"/>
  <c r="I225" i="15" s="1"/>
  <c r="I224" i="15" s="1"/>
  <c r="H217" i="12" l="1"/>
  <c r="H211" i="12"/>
  <c r="H210" i="12"/>
  <c r="H209" i="12"/>
  <c r="H208" i="12"/>
  <c r="H207" i="12"/>
  <c r="H206" i="12"/>
  <c r="H205" i="12"/>
  <c r="H204" i="12"/>
  <c r="H203" i="12"/>
  <c r="H200" i="12"/>
  <c r="H197" i="12"/>
  <c r="H194" i="12"/>
  <c r="H190" i="12"/>
  <c r="H189" i="12"/>
  <c r="H186" i="12"/>
  <c r="H183" i="12"/>
  <c r="H180" i="12"/>
  <c r="H179" i="12"/>
  <c r="H178" i="12"/>
  <c r="H177" i="12"/>
  <c r="H176" i="12"/>
  <c r="H175" i="12"/>
  <c r="H174" i="12"/>
  <c r="H173" i="12"/>
  <c r="H172" i="12"/>
  <c r="H171" i="12"/>
  <c r="H168" i="12"/>
  <c r="H165" i="12"/>
  <c r="H156" i="12"/>
  <c r="H155" i="12"/>
  <c r="H148" i="12"/>
  <c r="H147" i="12"/>
  <c r="H143" i="12"/>
  <c r="H142" i="12"/>
  <c r="H141" i="12"/>
  <c r="H137" i="12"/>
  <c r="H136" i="12"/>
  <c r="H135" i="12"/>
  <c r="H134" i="12"/>
  <c r="H133" i="12"/>
  <c r="H130" i="12"/>
  <c r="H127" i="12"/>
  <c r="H126" i="12"/>
  <c r="H119" i="12"/>
  <c r="H118" i="12"/>
  <c r="H117" i="12"/>
  <c r="H111" i="12"/>
  <c r="H110" i="12"/>
  <c r="H103" i="12"/>
  <c r="H102" i="12"/>
  <c r="H101" i="12"/>
  <c r="H95" i="12"/>
  <c r="H94" i="12"/>
  <c r="H90" i="12"/>
  <c r="H89" i="12"/>
  <c r="H85" i="12"/>
  <c r="H84" i="12"/>
  <c r="H83" i="12"/>
  <c r="H80" i="12"/>
  <c r="H79" i="12"/>
  <c r="H73" i="12"/>
  <c r="H67" i="12"/>
  <c r="H64" i="12"/>
  <c r="H57" i="12"/>
  <c r="H50" i="12"/>
  <c r="H49" i="12"/>
  <c r="H43" i="12"/>
  <c r="H39" i="12"/>
  <c r="H36" i="12"/>
  <c r="H29" i="12"/>
  <c r="H22" i="12"/>
  <c r="H21" i="12"/>
  <c r="H14" i="12"/>
  <c r="H10" i="12"/>
  <c r="H9" i="12"/>
  <c r="H8" i="12"/>
  <c r="H5" i="12"/>
  <c r="I79" i="12" l="1"/>
  <c r="M79" i="13"/>
  <c r="I95" i="12"/>
  <c r="M95" i="13"/>
  <c r="I119" i="12"/>
  <c r="M119" i="13"/>
  <c r="I137" i="12"/>
  <c r="M137" i="13"/>
  <c r="I165" i="12"/>
  <c r="M165" i="13"/>
  <c r="I194" i="12"/>
  <c r="M194" i="13"/>
  <c r="I90" i="12"/>
  <c r="M90" i="13"/>
  <c r="I73" i="12"/>
  <c r="M73" i="13"/>
  <c r="I136" i="12"/>
  <c r="M136" i="13"/>
  <c r="I43" i="12"/>
  <c r="M43" i="13"/>
  <c r="I168" i="12"/>
  <c r="M168" i="13"/>
  <c r="I49" i="12"/>
  <c r="M49" i="13"/>
  <c r="I142" i="12"/>
  <c r="M142" i="13"/>
  <c r="I67" i="12"/>
  <c r="M67" i="13"/>
  <c r="I155" i="12"/>
  <c r="M155" i="13"/>
  <c r="I94" i="12"/>
  <c r="M94" i="13"/>
  <c r="I126" i="12"/>
  <c r="M126" i="13"/>
  <c r="I197" i="12"/>
  <c r="M197" i="13"/>
  <c r="I83" i="12"/>
  <c r="M83" i="13"/>
  <c r="I102" i="12"/>
  <c r="M102" i="13"/>
  <c r="I50" i="12"/>
  <c r="M50" i="13"/>
  <c r="I103" i="12"/>
  <c r="M103" i="13"/>
  <c r="I130" i="12"/>
  <c r="M130" i="13"/>
  <c r="I143" i="12"/>
  <c r="M143" i="13"/>
  <c r="I117" i="12"/>
  <c r="M117" i="13"/>
  <c r="I36" i="12"/>
  <c r="M36" i="13"/>
  <c r="I118" i="12"/>
  <c r="M118" i="13"/>
  <c r="I80" i="12"/>
  <c r="M80" i="13"/>
  <c r="I141" i="12"/>
  <c r="M141" i="13"/>
  <c r="I110" i="12"/>
  <c r="M110" i="13"/>
  <c r="I147" i="12"/>
  <c r="M147" i="13"/>
  <c r="I156" i="12"/>
  <c r="M156" i="13"/>
  <c r="I39" i="12"/>
  <c r="M39" i="13"/>
  <c r="I101" i="12"/>
  <c r="M101" i="13"/>
  <c r="I127" i="12"/>
  <c r="M127" i="13"/>
  <c r="I57" i="12"/>
  <c r="M57" i="13"/>
  <c r="I133" i="12"/>
  <c r="M133" i="13"/>
  <c r="I64" i="12"/>
  <c r="M64" i="13"/>
  <c r="I89" i="12"/>
  <c r="M89" i="13"/>
  <c r="I111" i="12"/>
  <c r="M111" i="13"/>
  <c r="I148" i="12"/>
  <c r="M148" i="13"/>
  <c r="I217" i="12"/>
  <c r="M217" i="13"/>
  <c r="I204" i="12"/>
  <c r="M204" i="13"/>
  <c r="I209" i="12"/>
  <c r="M209" i="13"/>
  <c r="I208" i="12"/>
  <c r="M208" i="13"/>
  <c r="I206" i="12"/>
  <c r="M206" i="13"/>
  <c r="I203" i="12"/>
  <c r="M203" i="13"/>
  <c r="I207" i="12"/>
  <c r="M207" i="13"/>
  <c r="I210" i="12"/>
  <c r="M210" i="13"/>
  <c r="I205" i="12"/>
  <c r="M205" i="13"/>
  <c r="I211" i="12"/>
  <c r="M211" i="13"/>
  <c r="I200" i="12"/>
  <c r="M200" i="13"/>
  <c r="I190" i="12"/>
  <c r="M190" i="13"/>
  <c r="I189" i="12"/>
  <c r="M189" i="13"/>
  <c r="I186" i="12"/>
  <c r="M186" i="13"/>
  <c r="I176" i="12"/>
  <c r="M176" i="13"/>
  <c r="I179" i="12"/>
  <c r="M179" i="13"/>
  <c r="I177" i="12"/>
  <c r="M177" i="13"/>
  <c r="I171" i="12"/>
  <c r="M171" i="13"/>
  <c r="I175" i="12"/>
  <c r="M175" i="13"/>
  <c r="I180" i="12"/>
  <c r="M180" i="13"/>
  <c r="I173" i="12"/>
  <c r="M173" i="13"/>
  <c r="I178" i="12"/>
  <c r="M178" i="13"/>
  <c r="I183" i="12"/>
  <c r="M183" i="13"/>
  <c r="I172" i="12"/>
  <c r="M172" i="13"/>
  <c r="I174" i="12"/>
  <c r="M174" i="13"/>
  <c r="I134" i="12"/>
  <c r="M134" i="13"/>
  <c r="I135" i="12"/>
  <c r="M135" i="13"/>
  <c r="I84" i="12"/>
  <c r="M84" i="13"/>
  <c r="I85" i="12"/>
  <c r="M85" i="13"/>
  <c r="I29" i="12"/>
  <c r="M29" i="13"/>
  <c r="I21" i="12"/>
  <c r="M21" i="13"/>
  <c r="I22" i="12"/>
  <c r="M22" i="13"/>
  <c r="I14" i="12"/>
  <c r="M14" i="13"/>
  <c r="I9" i="12"/>
  <c r="M9" i="13"/>
  <c r="I10" i="12"/>
  <c r="M10" i="13"/>
  <c r="I8" i="12"/>
  <c r="M8" i="13"/>
  <c r="I5" i="12"/>
  <c r="M5" i="13"/>
  <c r="H114" i="12"/>
  <c r="H53" i="12"/>
  <c r="H146" i="12"/>
  <c r="H17" i="12"/>
  <c r="H25" i="12"/>
  <c r="H88" i="12"/>
  <c r="H159" i="12"/>
  <c r="H46" i="12"/>
  <c r="H98" i="12"/>
  <c r="H162" i="12"/>
  <c r="H220" i="12"/>
  <c r="H214" i="12"/>
  <c r="H13" i="12"/>
  <c r="H32" i="12"/>
  <c r="H42" i="12"/>
  <c r="H63" i="12"/>
  <c r="H106" i="12"/>
  <c r="H125" i="12"/>
  <c r="H140" i="12"/>
  <c r="H35" i="12"/>
  <c r="H56" i="12"/>
  <c r="H76" i="12"/>
  <c r="H109" i="12"/>
  <c r="H193" i="12"/>
  <c r="H28" i="12"/>
  <c r="H93" i="12"/>
  <c r="H151" i="12"/>
  <c r="H20" i="12"/>
  <c r="H60" i="12"/>
  <c r="H70" i="12"/>
  <c r="H122" i="12"/>
  <c r="H154" i="12"/>
  <c r="N169" i="12" l="1"/>
  <c r="N77" i="12"/>
  <c r="O221" i="12"/>
  <c r="O201" i="12"/>
  <c r="I93" i="12"/>
  <c r="M93" i="13"/>
  <c r="I28" i="12"/>
  <c r="M28" i="13"/>
  <c r="I154" i="12"/>
  <c r="M154" i="13"/>
  <c r="I106" i="12"/>
  <c r="M106" i="13"/>
  <c r="I98" i="12"/>
  <c r="M98" i="13"/>
  <c r="I53" i="12"/>
  <c r="M53" i="13"/>
  <c r="I42" i="12"/>
  <c r="M42" i="13"/>
  <c r="I46" i="12"/>
  <c r="M46" i="13"/>
  <c r="I162" i="12"/>
  <c r="M162" i="13"/>
  <c r="I70" i="12"/>
  <c r="M70" i="13"/>
  <c r="I76" i="12"/>
  <c r="M76" i="13"/>
  <c r="I159" i="12"/>
  <c r="M159" i="13"/>
  <c r="I140" i="12"/>
  <c r="M140" i="13"/>
  <c r="I122" i="12"/>
  <c r="M122" i="13"/>
  <c r="I63" i="12"/>
  <c r="M63" i="13"/>
  <c r="I114" i="12"/>
  <c r="M114" i="13"/>
  <c r="I109" i="12"/>
  <c r="M109" i="13"/>
  <c r="I60" i="12"/>
  <c r="M60" i="13"/>
  <c r="I20" i="12"/>
  <c r="M20" i="13"/>
  <c r="I56" i="12"/>
  <c r="M56" i="13"/>
  <c r="I125" i="12"/>
  <c r="M125" i="13"/>
  <c r="I151" i="12"/>
  <c r="M151" i="13"/>
  <c r="I35" i="12"/>
  <c r="M35" i="13"/>
  <c r="I220" i="12"/>
  <c r="M220" i="13"/>
  <c r="I214" i="12"/>
  <c r="M214" i="13"/>
  <c r="I193" i="12"/>
  <c r="O202" i="12" s="1"/>
  <c r="I202" i="12" s="1"/>
  <c r="M193" i="13"/>
  <c r="I146" i="12"/>
  <c r="M146" i="13"/>
  <c r="I88" i="12"/>
  <c r="M88" i="13"/>
  <c r="I32" i="12"/>
  <c r="M32" i="13"/>
  <c r="I25" i="12"/>
  <c r="M25" i="13"/>
  <c r="I17" i="12"/>
  <c r="M17" i="13"/>
  <c r="I13" i="12"/>
  <c r="M13" i="13"/>
  <c r="P201" i="12" l="1"/>
  <c r="Q201" i="12" s="1"/>
  <c r="I169" i="12"/>
  <c r="N170" i="12"/>
  <c r="I170" i="12" s="1"/>
  <c r="I201" i="12"/>
  <c r="P202" i="12"/>
  <c r="N201" i="12"/>
  <c r="N78" i="12"/>
  <c r="I78" i="12" s="1"/>
  <c r="I77" i="12"/>
  <c r="I221" i="12"/>
  <c r="O222" i="12"/>
  <c r="H143" i="10"/>
  <c r="H142" i="10"/>
  <c r="H141" i="10"/>
  <c r="O223" i="12" l="1"/>
  <c r="P221" i="12"/>
  <c r="Q202" i="12"/>
  <c r="R201" i="12" s="1"/>
  <c r="S201" i="12" s="1"/>
  <c r="P169" i="12"/>
  <c r="O170" i="12" s="1"/>
  <c r="O77" i="12"/>
  <c r="J201" i="12"/>
  <c r="M77" i="12"/>
  <c r="P222" i="12"/>
  <c r="I222" i="12"/>
  <c r="J229" i="12" s="1"/>
  <c r="I141" i="10"/>
  <c r="L141" i="13"/>
  <c r="L141" i="14"/>
  <c r="L141" i="15"/>
  <c r="I142" i="10"/>
  <c r="L142" i="13"/>
  <c r="L142" i="14"/>
  <c r="L142" i="15"/>
  <c r="I143" i="10"/>
  <c r="L143" i="13"/>
  <c r="L143" i="14"/>
  <c r="L143" i="15"/>
  <c r="H194" i="10"/>
  <c r="H190" i="10"/>
  <c r="O224" i="12" l="1"/>
  <c r="Q221" i="12"/>
  <c r="R222" i="12" s="1"/>
  <c r="P223" i="12"/>
  <c r="Q170" i="12"/>
  <c r="R170" i="12" s="1"/>
  <c r="J169" i="12"/>
  <c r="P170" i="12"/>
  <c r="M81" i="12"/>
  <c r="J77" i="12"/>
  <c r="P78" i="12"/>
  <c r="J221" i="12"/>
  <c r="M224" i="12"/>
  <c r="I190" i="10"/>
  <c r="L190" i="13"/>
  <c r="L190" i="14"/>
  <c r="L190" i="15"/>
  <c r="I194" i="10"/>
  <c r="L194" i="13"/>
  <c r="L194" i="14"/>
  <c r="L194" i="15"/>
  <c r="H193" i="10"/>
  <c r="H197" i="10"/>
  <c r="Q222" i="12" l="1"/>
  <c r="Q223" i="12" s="1"/>
  <c r="O78" i="12"/>
  <c r="Q78" i="12" s="1"/>
  <c r="I223" i="12"/>
  <c r="I225" i="12" s="1"/>
  <c r="I224" i="12" s="1"/>
  <c r="S222" i="12"/>
  <c r="I197" i="10"/>
  <c r="L197" i="13"/>
  <c r="L197" i="14"/>
  <c r="L197" i="15"/>
  <c r="I193" i="10"/>
  <c r="L193" i="15"/>
  <c r="L193" i="14"/>
  <c r="L193" i="13"/>
  <c r="H5" i="10"/>
  <c r="H156" i="10"/>
  <c r="H148" i="10"/>
  <c r="H147" i="10"/>
  <c r="H155" i="10"/>
  <c r="H137" i="10"/>
  <c r="H127" i="10"/>
  <c r="H119" i="10"/>
  <c r="H111" i="10"/>
  <c r="H103" i="10"/>
  <c r="H95" i="10"/>
  <c r="H90" i="10"/>
  <c r="H85" i="10"/>
  <c r="H80" i="10"/>
  <c r="H57" i="10"/>
  <c r="H50" i="10"/>
  <c r="I85" i="10" l="1"/>
  <c r="L85" i="13"/>
  <c r="L85" i="14"/>
  <c r="L85" i="15"/>
  <c r="I80" i="10"/>
  <c r="L80" i="15"/>
  <c r="L80" i="13"/>
  <c r="L80" i="14"/>
  <c r="I90" i="10"/>
  <c r="L90" i="13"/>
  <c r="L90" i="14"/>
  <c r="L90" i="15"/>
  <c r="I147" i="10"/>
  <c r="L147" i="13"/>
  <c r="L147" i="14"/>
  <c r="L147" i="15"/>
  <c r="I155" i="10"/>
  <c r="L155" i="13"/>
  <c r="L155" i="14"/>
  <c r="L155" i="15"/>
  <c r="I50" i="10"/>
  <c r="L50" i="13"/>
  <c r="L50" i="14"/>
  <c r="L50" i="15"/>
  <c r="I57" i="10"/>
  <c r="L57" i="15"/>
  <c r="L57" i="13"/>
  <c r="L57" i="14"/>
  <c r="I137" i="10"/>
  <c r="L137" i="13"/>
  <c r="L137" i="14"/>
  <c r="L137" i="15"/>
  <c r="I95" i="10"/>
  <c r="L95" i="15"/>
  <c r="L95" i="13"/>
  <c r="L95" i="14"/>
  <c r="I148" i="10"/>
  <c r="L148" i="15"/>
  <c r="L148" i="13"/>
  <c r="L148" i="14"/>
  <c r="I103" i="10"/>
  <c r="L103" i="15"/>
  <c r="L103" i="13"/>
  <c r="L103" i="14"/>
  <c r="I156" i="10"/>
  <c r="L156" i="13"/>
  <c r="L156" i="15"/>
  <c r="L156" i="14"/>
  <c r="I119" i="10"/>
  <c r="L119" i="15"/>
  <c r="L119" i="13"/>
  <c r="L119" i="14"/>
  <c r="I127" i="10"/>
  <c r="L127" i="13"/>
  <c r="L127" i="14"/>
  <c r="L127" i="15"/>
  <c r="I111" i="10"/>
  <c r="L111" i="14"/>
  <c r="L111" i="15"/>
  <c r="L111" i="13"/>
  <c r="I5" i="10"/>
  <c r="L5" i="13"/>
  <c r="L5" i="14"/>
  <c r="L5" i="15"/>
  <c r="H168" i="10"/>
  <c r="H165" i="10"/>
  <c r="H70" i="10"/>
  <c r="H53" i="10"/>
  <c r="H151" i="10"/>
  <c r="H154" i="10"/>
  <c r="H73" i="10"/>
  <c r="H159" i="10"/>
  <c r="H162" i="10"/>
  <c r="H63" i="10"/>
  <c r="H60" i="10"/>
  <c r="H67" i="10"/>
  <c r="H56" i="10"/>
  <c r="I67" i="10" l="1"/>
  <c r="L67" i="13"/>
  <c r="L67" i="14"/>
  <c r="L67" i="15"/>
  <c r="I70" i="10"/>
  <c r="L70" i="13"/>
  <c r="L70" i="14"/>
  <c r="L70" i="15"/>
  <c r="I165" i="10"/>
  <c r="L165" i="13"/>
  <c r="L165" i="14"/>
  <c r="L165" i="15"/>
  <c r="I162" i="10"/>
  <c r="L162" i="13"/>
  <c r="L162" i="14"/>
  <c r="L162" i="15"/>
  <c r="I159" i="10"/>
  <c r="L159" i="15"/>
  <c r="L159" i="13"/>
  <c r="L159" i="14"/>
  <c r="I154" i="10"/>
  <c r="L154" i="13"/>
  <c r="L154" i="14"/>
  <c r="L154" i="15"/>
  <c r="I53" i="10"/>
  <c r="L53" i="13"/>
  <c r="L53" i="14"/>
  <c r="L53" i="15"/>
  <c r="I60" i="10"/>
  <c r="L60" i="13"/>
  <c r="L60" i="14"/>
  <c r="L60" i="15"/>
  <c r="I63" i="10"/>
  <c r="L63" i="15"/>
  <c r="L63" i="13"/>
  <c r="L63" i="14"/>
  <c r="I168" i="10"/>
  <c r="L168" i="15"/>
  <c r="L168" i="13"/>
  <c r="L168" i="14"/>
  <c r="I73" i="10"/>
  <c r="L73" i="13"/>
  <c r="L73" i="14"/>
  <c r="L73" i="15"/>
  <c r="I56" i="10"/>
  <c r="L56" i="13"/>
  <c r="L56" i="14"/>
  <c r="L56" i="15"/>
  <c r="I151" i="10"/>
  <c r="L151" i="13"/>
  <c r="L151" i="14"/>
  <c r="L151" i="15"/>
  <c r="H174" i="10"/>
  <c r="H136" i="10"/>
  <c r="H135" i="10"/>
  <c r="H134" i="10"/>
  <c r="H126" i="10"/>
  <c r="H118" i="10"/>
  <c r="H110" i="10"/>
  <c r="H102" i="10"/>
  <c r="H94" i="10"/>
  <c r="H89" i="10"/>
  <c r="H79" i="10"/>
  <c r="H64" i="10"/>
  <c r="H43" i="10"/>
  <c r="H36" i="10"/>
  <c r="H22" i="10"/>
  <c r="H10" i="10"/>
  <c r="H211" i="10"/>
  <c r="H210" i="10"/>
  <c r="H209" i="10"/>
  <c r="H208" i="10"/>
  <c r="H207" i="10"/>
  <c r="H206" i="10"/>
  <c r="H205" i="10"/>
  <c r="H204" i="10"/>
  <c r="H203" i="10"/>
  <c r="H180" i="10"/>
  <c r="H179" i="10"/>
  <c r="H178" i="10"/>
  <c r="H177" i="10"/>
  <c r="H176" i="10"/>
  <c r="H175" i="10"/>
  <c r="H173" i="10"/>
  <c r="H172" i="10"/>
  <c r="H171" i="10"/>
  <c r="H84" i="10"/>
  <c r="H29" i="10"/>
  <c r="H21" i="10"/>
  <c r="H14" i="10"/>
  <c r="H9" i="10"/>
  <c r="I126" i="10" l="1"/>
  <c r="L126" i="13"/>
  <c r="L126" i="14"/>
  <c r="L126" i="15"/>
  <c r="I171" i="10"/>
  <c r="L171" i="13"/>
  <c r="L171" i="14"/>
  <c r="L171" i="15"/>
  <c r="I9" i="10"/>
  <c r="L9" i="13"/>
  <c r="L9" i="14"/>
  <c r="L9" i="15"/>
  <c r="I89" i="10"/>
  <c r="L89" i="15"/>
  <c r="L89" i="13"/>
  <c r="L89" i="14"/>
  <c r="I14" i="10"/>
  <c r="L14" i="15"/>
  <c r="L14" i="13"/>
  <c r="L14" i="14"/>
  <c r="I175" i="10"/>
  <c r="L175" i="14"/>
  <c r="L175" i="13"/>
  <c r="L175" i="15"/>
  <c r="I205" i="10"/>
  <c r="L205" i="13"/>
  <c r="L205" i="15"/>
  <c r="I22" i="10"/>
  <c r="L22" i="13"/>
  <c r="L22" i="14"/>
  <c r="L22" i="15"/>
  <c r="I94" i="10"/>
  <c r="L94" i="15"/>
  <c r="L94" i="13"/>
  <c r="L94" i="14"/>
  <c r="I179" i="10"/>
  <c r="L179" i="13"/>
  <c r="L179" i="14"/>
  <c r="L179" i="15"/>
  <c r="I134" i="10"/>
  <c r="L134" i="13"/>
  <c r="L134" i="14"/>
  <c r="L134" i="15"/>
  <c r="I203" i="10"/>
  <c r="L203" i="13"/>
  <c r="L203" i="15"/>
  <c r="I204" i="10"/>
  <c r="L204" i="13"/>
  <c r="L204" i="15"/>
  <c r="I29" i="10"/>
  <c r="L29" i="13"/>
  <c r="L29" i="14"/>
  <c r="L29" i="15"/>
  <c r="I206" i="10"/>
  <c r="L206" i="13"/>
  <c r="L206" i="14"/>
  <c r="L206" i="15"/>
  <c r="I174" i="10"/>
  <c r="L174" i="13"/>
  <c r="L174" i="14"/>
  <c r="L174" i="15"/>
  <c r="I209" i="10"/>
  <c r="L209" i="15"/>
  <c r="L209" i="13"/>
  <c r="L209" i="14"/>
  <c r="I180" i="10"/>
  <c r="L180" i="13"/>
  <c r="L180" i="14"/>
  <c r="L180" i="15"/>
  <c r="I172" i="10"/>
  <c r="L172" i="14"/>
  <c r="L172" i="15"/>
  <c r="L172" i="13"/>
  <c r="I135" i="10"/>
  <c r="L135" i="15"/>
  <c r="L135" i="14"/>
  <c r="L135" i="13"/>
  <c r="I10" i="10"/>
  <c r="L10" i="13"/>
  <c r="L10" i="14"/>
  <c r="L10" i="15"/>
  <c r="I36" i="10"/>
  <c r="L36" i="13"/>
  <c r="L36" i="14"/>
  <c r="L36" i="15"/>
  <c r="I207" i="10"/>
  <c r="L207" i="15"/>
  <c r="L207" i="13"/>
  <c r="L207" i="14"/>
  <c r="I43" i="10"/>
  <c r="L43" i="13"/>
  <c r="L43" i="14"/>
  <c r="L43" i="15"/>
  <c r="I110" i="10"/>
  <c r="L110" i="13"/>
  <c r="L110" i="14"/>
  <c r="L110" i="15"/>
  <c r="I79" i="10"/>
  <c r="L79" i="13"/>
  <c r="L79" i="14"/>
  <c r="L79" i="15"/>
  <c r="I210" i="10"/>
  <c r="L210" i="13"/>
  <c r="L210" i="14"/>
  <c r="L210" i="15"/>
  <c r="I211" i="10"/>
  <c r="L211" i="13"/>
  <c r="L211" i="14"/>
  <c r="L211" i="15"/>
  <c r="I173" i="10"/>
  <c r="L173" i="13"/>
  <c r="L173" i="14"/>
  <c r="L173" i="15"/>
  <c r="I136" i="10"/>
  <c r="L136" i="13"/>
  <c r="L136" i="15"/>
  <c r="L136" i="14"/>
  <c r="I21" i="10"/>
  <c r="L21" i="13"/>
  <c r="L21" i="14"/>
  <c r="L21" i="15"/>
  <c r="I176" i="10"/>
  <c r="L176" i="13"/>
  <c r="L176" i="14"/>
  <c r="L176" i="15"/>
  <c r="I102" i="10"/>
  <c r="L102" i="15"/>
  <c r="L102" i="13"/>
  <c r="L102" i="14"/>
  <c r="I84" i="10"/>
  <c r="L84" i="13"/>
  <c r="L84" i="14"/>
  <c r="L84" i="15"/>
  <c r="I177" i="10"/>
  <c r="L177" i="13"/>
  <c r="L177" i="14"/>
  <c r="L177" i="15"/>
  <c r="I178" i="10"/>
  <c r="L178" i="13"/>
  <c r="L178" i="14"/>
  <c r="L178" i="15"/>
  <c r="I208" i="10"/>
  <c r="L208" i="15"/>
  <c r="L208" i="13"/>
  <c r="L208" i="14"/>
  <c r="I64" i="10"/>
  <c r="L64" i="14"/>
  <c r="L64" i="15"/>
  <c r="L64" i="13"/>
  <c r="I118" i="10"/>
  <c r="L118" i="13"/>
  <c r="L118" i="14"/>
  <c r="L118" i="15"/>
  <c r="H146" i="10"/>
  <c r="H140" i="10"/>
  <c r="H122" i="10"/>
  <c r="H114" i="10"/>
  <c r="H125" i="10"/>
  <c r="H130" i="10"/>
  <c r="H133" i="10"/>
  <c r="H117" i="10"/>
  <c r="H106" i="10"/>
  <c r="H109" i="10"/>
  <c r="H98" i="10"/>
  <c r="H101" i="10"/>
  <c r="H93" i="10"/>
  <c r="H83" i="10"/>
  <c r="H76" i="10"/>
  <c r="H49" i="10"/>
  <c r="H42" i="10"/>
  <c r="H46" i="10"/>
  <c r="H39" i="10"/>
  <c r="H189" i="10"/>
  <c r="H217" i="10"/>
  <c r="H88" i="10"/>
  <c r="H220" i="10"/>
  <c r="H20" i="10"/>
  <c r="H35" i="10"/>
  <c r="H17" i="10"/>
  <c r="H28" i="10"/>
  <c r="H183" i="10"/>
  <c r="H13" i="10"/>
  <c r="H186" i="10"/>
  <c r="H8" i="10"/>
  <c r="H25" i="10"/>
  <c r="H200" i="10"/>
  <c r="H214" i="10"/>
  <c r="H32" i="10"/>
  <c r="N221" i="10" l="1"/>
  <c r="N169" i="10"/>
  <c r="N77" i="10"/>
  <c r="N201" i="10"/>
  <c r="I133" i="10"/>
  <c r="L133" i="13"/>
  <c r="L133" i="14"/>
  <c r="L133" i="15"/>
  <c r="I217" i="10"/>
  <c r="L217" i="13"/>
  <c r="L217" i="14"/>
  <c r="L217" i="15"/>
  <c r="I125" i="10"/>
  <c r="L125" i="13"/>
  <c r="L125" i="14"/>
  <c r="L125" i="15"/>
  <c r="I183" i="10"/>
  <c r="L183" i="15"/>
  <c r="L183" i="13"/>
  <c r="L183" i="14"/>
  <c r="I220" i="10"/>
  <c r="L220" i="13"/>
  <c r="L220" i="15"/>
  <c r="L220" i="14"/>
  <c r="I189" i="10"/>
  <c r="L189" i="13"/>
  <c r="L189" i="14"/>
  <c r="L189" i="15"/>
  <c r="I101" i="10"/>
  <c r="L101" i="13"/>
  <c r="L101" i="14"/>
  <c r="L101" i="15"/>
  <c r="I114" i="10"/>
  <c r="L114" i="13"/>
  <c r="L114" i="14"/>
  <c r="L114" i="15"/>
  <c r="I32" i="10"/>
  <c r="L32" i="14"/>
  <c r="L32" i="13"/>
  <c r="L32" i="15"/>
  <c r="I28" i="10"/>
  <c r="L28" i="13"/>
  <c r="L28" i="14"/>
  <c r="L28" i="15"/>
  <c r="I39" i="10"/>
  <c r="L39" i="15"/>
  <c r="L39" i="13"/>
  <c r="L39" i="14"/>
  <c r="I98" i="10"/>
  <c r="L98" i="13"/>
  <c r="L98" i="14"/>
  <c r="L98" i="15"/>
  <c r="I122" i="10"/>
  <c r="L122" i="13"/>
  <c r="L122" i="14"/>
  <c r="L122" i="15"/>
  <c r="I8" i="10"/>
  <c r="L8" i="15"/>
  <c r="L8" i="13"/>
  <c r="L8" i="14"/>
  <c r="I186" i="10"/>
  <c r="L186" i="13"/>
  <c r="L186" i="14"/>
  <c r="L186" i="15"/>
  <c r="I88" i="10"/>
  <c r="L88" i="15"/>
  <c r="L88" i="13"/>
  <c r="L88" i="14"/>
  <c r="I83" i="10"/>
  <c r="L83" i="13"/>
  <c r="L83" i="14"/>
  <c r="L83" i="15"/>
  <c r="I130" i="10"/>
  <c r="L130" i="13"/>
  <c r="L130" i="14"/>
  <c r="L130" i="15"/>
  <c r="I13" i="10"/>
  <c r="L13" i="13"/>
  <c r="L13" i="14"/>
  <c r="L13" i="15"/>
  <c r="I93" i="10"/>
  <c r="L93" i="13"/>
  <c r="L93" i="14"/>
  <c r="L93" i="15"/>
  <c r="I214" i="10"/>
  <c r="L214" i="14"/>
  <c r="L214" i="13"/>
  <c r="L214" i="15"/>
  <c r="I17" i="10"/>
  <c r="L17" i="15"/>
  <c r="L17" i="13"/>
  <c r="L17" i="14"/>
  <c r="I46" i="10"/>
  <c r="L46" i="15"/>
  <c r="L46" i="13"/>
  <c r="L46" i="14"/>
  <c r="I109" i="10"/>
  <c r="L109" i="13"/>
  <c r="L109" i="14"/>
  <c r="L109" i="15"/>
  <c r="I140" i="10"/>
  <c r="L140" i="13"/>
  <c r="L140" i="14"/>
  <c r="L140" i="15"/>
  <c r="I76" i="10"/>
  <c r="L76" i="13"/>
  <c r="L76" i="14"/>
  <c r="L76" i="15"/>
  <c r="I200" i="10"/>
  <c r="L200" i="13"/>
  <c r="L200" i="14"/>
  <c r="L200" i="15"/>
  <c r="I35" i="10"/>
  <c r="L35" i="13"/>
  <c r="L35" i="14"/>
  <c r="L35" i="15"/>
  <c r="I42" i="10"/>
  <c r="L42" i="13"/>
  <c r="L42" i="14"/>
  <c r="L42" i="15"/>
  <c r="I106" i="10"/>
  <c r="L106" i="13"/>
  <c r="L106" i="14"/>
  <c r="L106" i="15"/>
  <c r="I146" i="10"/>
  <c r="L146" i="13"/>
  <c r="L146" i="14"/>
  <c r="L146" i="15"/>
  <c r="I25" i="10"/>
  <c r="L25" i="15"/>
  <c r="L25" i="13"/>
  <c r="L25" i="14"/>
  <c r="I20" i="10"/>
  <c r="L20" i="14"/>
  <c r="L20" i="15"/>
  <c r="L20" i="13"/>
  <c r="I49" i="10"/>
  <c r="L49" i="13"/>
  <c r="L49" i="14"/>
  <c r="L49" i="15"/>
  <c r="I117" i="10"/>
  <c r="L117" i="13"/>
  <c r="L117" i="14"/>
  <c r="L117" i="15"/>
  <c r="B103" i="1"/>
  <c r="I201" i="10" l="1"/>
  <c r="I169" i="10"/>
  <c r="I221" i="10"/>
  <c r="N222" i="10"/>
  <c r="I222" i="10" s="1"/>
  <c r="N202" i="10"/>
  <c r="I202" i="10" s="1"/>
  <c r="N78" i="10"/>
  <c r="I77" i="10"/>
  <c r="N170" i="10"/>
  <c r="I170" i="10" s="1"/>
  <c r="L221" i="14"/>
  <c r="L221" i="13"/>
  <c r="L221" i="15"/>
  <c r="O2" i="5"/>
  <c r="Q201" i="10" l="1"/>
  <c r="R201" i="10" s="1"/>
  <c r="Q221" i="10"/>
  <c r="Q169" i="10"/>
  <c r="R169" i="10" s="1"/>
  <c r="I78" i="10"/>
  <c r="Q77" i="10"/>
  <c r="P77" i="10" s="1"/>
  <c r="N223" i="10"/>
  <c r="M2" i="5"/>
  <c r="J2" i="5"/>
  <c r="I2" i="5"/>
  <c r="H2" i="5"/>
  <c r="G2" i="5"/>
  <c r="F2" i="5"/>
  <c r="E2" i="5"/>
  <c r="D2" i="5"/>
  <c r="C2" i="5"/>
  <c r="B2" i="5"/>
  <c r="R221" i="10" l="1"/>
  <c r="P221" i="10"/>
  <c r="P201" i="10"/>
  <c r="R77" i="10"/>
  <c r="P169" i="10"/>
  <c r="N2" i="5"/>
  <c r="H229" i="12"/>
  <c r="L226" i="10" l="1"/>
  <c r="N229" i="10" s="1"/>
  <c r="H227" i="10" s="1"/>
  <c r="H227" i="12" s="1"/>
  <c r="O225" i="10"/>
  <c r="H229" i="10" l="1"/>
  <c r="I223" i="10" s="1"/>
  <c r="N225" i="10" s="1"/>
  <c r="I225" i="10" s="1"/>
  <c r="J227" i="12" s="1"/>
  <c r="P225" i="10" l="1"/>
  <c r="N224" i="10"/>
  <c r="I224" i="10" s="1"/>
</calcChain>
</file>

<file path=xl/connections.xml><?xml version="1.0" encoding="utf-8"?>
<connections xmlns="http://schemas.openxmlformats.org/spreadsheetml/2006/main">
  <connection id="1" keepAlive="1" name="Dotaz – Tabuľka2" description="Pripojenie k dotazu Tabuľka2 v zošite." type="5" refreshedVersion="0" background="1">
    <dbPr connection="Provider=Microsoft.Mashup.OleDb.1;Data Source=$Workbook$;Location=Tabuľka2;Extended Properties=&quot;&quot;" command="SELECT * FROM [Tabuľka2]"/>
  </connection>
</connections>
</file>

<file path=xl/sharedStrings.xml><?xml version="1.0" encoding="utf-8"?>
<sst xmlns="http://schemas.openxmlformats.org/spreadsheetml/2006/main" count="3455" uniqueCount="294">
  <si>
    <t>Žiadosť o poskytnutie kompenzácie vybraných taríf pre odberateľov elektriny v domácnosti a pre ostatných koncových odberateľov elektriny</t>
  </si>
  <si>
    <t>Údaje o žiadateľovi</t>
  </si>
  <si>
    <t>IČO</t>
  </si>
  <si>
    <t>DIČ</t>
  </si>
  <si>
    <t>IČ DPH (ak je žiadateľ platca DPH)</t>
  </si>
  <si>
    <t>Názov alebo obchodné meno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</si>
  <si>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</si>
  <si>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</si>
  <si>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</si>
  <si>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</si>
  <si>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</si>
  <si>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</si>
  <si>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</si>
  <si>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</si>
  <si>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Osoba s právom konať v mene žiadateľa</t>
  </si>
  <si>
    <t>Meno</t>
  </si>
  <si>
    <t>Priezvisko</t>
  </si>
  <si>
    <t>Typ</t>
  </si>
  <si>
    <t>Kontaktná osoba žiadateľa</t>
  </si>
  <si>
    <t>E-mailová adresa</t>
  </si>
  <si>
    <t>Bankové spojenie (IBAN)</t>
  </si>
  <si>
    <t>Rozhodnutie ÚRSO na rok 2023 (podľa Nariadenia vlády SR č. 465/2022 Z.z.)</t>
  </si>
  <si>
    <t>Číslo cenového rozhodnutia</t>
  </si>
  <si>
    <t>Cenové rozhodnutie zo dňa</t>
  </si>
  <si>
    <t>Cenové rozhodnutie ÚRSO na rok 2022</t>
  </si>
  <si>
    <t>Údaje konečného užívateľa výhod, ak výška dotácie presahuje 100 000 EUR</t>
  </si>
  <si>
    <t>Meno 1</t>
  </si>
  <si>
    <t>Priezvisko 1</t>
  </si>
  <si>
    <t xml:space="preserve"> 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</si>
  <si>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</si>
  <si>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</si>
  <si>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</si>
  <si>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</si>
  <si>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</si>
  <si>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</si>
  <si>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</si>
  <si>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</si>
  <si>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</si>
  <si>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</si>
  <si>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</si>
  <si>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</si>
  <si>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</si>
  <si>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</si>
  <si>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</si>
  <si>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</si>
  <si>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</si>
  <si>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</si>
  <si>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Vyhlásenie žiadateľa o splnení podmienok</t>
  </si>
  <si>
    <t>Nie je voči mne vedené konkurzné konanie, nie som v konkurze, v reštrukturalizácii a nebol proti mne zamietnutý návrh na vyhlásenie konkurzu pre nedostatok majetku.</t>
  </si>
  <si>
    <t>Zvoliť možnosť</t>
  </si>
  <si>
    <t>Vyhlasujem, že údaje uvedené v žiadosti, vrátane údajov pre výpočet kompenzácie, sú pravdivé, presné a úplné a spĺňam podmienky pre kompenzácie stanovené v Nariadení vlády č. 465/2022 Z.z.</t>
  </si>
  <si>
    <t>Vyhlasujem, že nemám právoplatne uložený trest zákazu prijímať dotácie alebo subvencie.</t>
  </si>
  <si>
    <t>Vyhlasujem, že nemám právoplatne uložený trest zákazu prijímať pomoc a podporu poskytovanú z fondov EÚ.</t>
  </si>
  <si>
    <t xml:space="preserve">Potvrdzujem, že spoločnosť je zapísaná do regfistra partnerov verjného sektora. 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</si>
  <si>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</si>
  <si>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Som si vedomý, že v prípade preukázania nepravdivosti údajov uvedených v žiadosti som povinný kompenzáciu bezodkladne vrátiť poskytovateľovi.</t>
  </si>
  <si>
    <t>Súhlasím so spracovaním osobných údajov podľa Zákona č. 18/2018 Z. z. o ochrane osobných údajov a o zmene a doplnení niektorých zákonov.</t>
  </si>
  <si>
    <t>[€]</t>
  </si>
  <si>
    <t>[1]</t>
  </si>
  <si>
    <t>[2]</t>
  </si>
  <si>
    <t>[3]</t>
  </si>
  <si>
    <t>[4]</t>
  </si>
  <si>
    <t>[5]</t>
  </si>
  <si>
    <t>Odberatelia elektriny v domácnosti pripojení na napäťovú úroveň nízkeho napätia</t>
  </si>
  <si>
    <t>Ostatní koncoví odberatelia elektriny pripojení na napäťovú úroveň nízkeho napätia</t>
  </si>
  <si>
    <t>Ostatní koncoví odberatelia elektriny pripojení na napäťovú úroveň vysokého napätia</t>
  </si>
  <si>
    <t>Ostatní koncoví odberatelia elektriny pripojení na napäťovú úroveň veľmi vysokého napätia</t>
  </si>
  <si>
    <t>n.a.</t>
  </si>
  <si>
    <t>DPH</t>
  </si>
  <si>
    <t>Spolu s DPH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</si>
  <si>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</si>
  <si>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</si>
  <si>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</si>
  <si>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</si>
  <si>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</si>
  <si>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</si>
  <si>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</si>
  <si>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</si>
  <si>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</si>
  <si>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</si>
  <si>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</si>
  <si>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</si>
  <si>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</si>
  <si>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</si>
  <si>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</si>
  <si>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</si>
  <si>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</si>
  <si>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</si>
  <si>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</si>
  <si>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</si>
  <si>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</si>
  <si>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</si>
  <si>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</si>
  <si>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</si>
  <si>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</si>
  <si>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</si>
  <si>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</si>
  <si>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</si>
  <si>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</si>
  <si>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</si>
  <si>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</si>
  <si>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</si>
  <si>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</si>
  <si>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</si>
  <si>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</si>
  <si>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</si>
  <si>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</si>
  <si>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</si>
  <si>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</si>
  <si>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</si>
  <si>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</si>
  <si>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</si>
  <si>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</si>
  <si>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</si>
  <si>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</si>
  <si>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</si>
  <si>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</si>
  <si>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</si>
  <si>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</si>
  <si>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</si>
  <si>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</si>
  <si>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</si>
  <si>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</si>
  <si>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</si>
  <si>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</si>
  <si>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</si>
  <si>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</si>
  <si>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</si>
  <si>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</si>
  <si>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</si>
  <si>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</si>
  <si>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</si>
  <si>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</si>
  <si>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</si>
  <si>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</si>
  <si>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</si>
  <si>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</si>
  <si>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</si>
  <si>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</si>
  <si>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</si>
  <si>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</si>
  <si>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</si>
  <si>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</si>
  <si>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</si>
  <si>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</si>
  <si>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</si>
  <si>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</si>
  <si>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</si>
  <si>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</si>
  <si>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Číslo spisu Fabasoft</t>
  </si>
  <si>
    <t>IČ DPH</t>
  </si>
  <si>
    <t>Variabilný symbol</t>
  </si>
  <si>
    <t>Ekonomická klasifikácia</t>
  </si>
  <si>
    <t>Číslo cenového rozhodnutia URSO</t>
  </si>
  <si>
    <t>Výška kompenzácie s DPH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</si>
  <si>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</si>
  <si>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</si>
  <si>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</si>
  <si>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</si>
  <si>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</si>
  <si>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</si>
  <si>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</si>
  <si>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prístup do distribučnej sústavy</t>
  </si>
  <si>
    <t>distribúcia elektriny</t>
  </si>
  <si>
    <t>straty</t>
  </si>
  <si>
    <t>A</t>
  </si>
  <si>
    <t>kW</t>
  </si>
  <si>
    <t>Tarifa</t>
  </si>
  <si>
    <t>distribúcia elektriny + straty</t>
  </si>
  <si>
    <t>D1</t>
  </si>
  <si>
    <t>Sadzba</t>
  </si>
  <si>
    <t>C2</t>
  </si>
  <si>
    <t>X2</t>
  </si>
  <si>
    <t>X1</t>
  </si>
  <si>
    <t>D2</t>
  </si>
  <si>
    <t>D3</t>
  </si>
  <si>
    <t>D4</t>
  </si>
  <si>
    <t>D5</t>
  </si>
  <si>
    <t>[€/m.j.]</t>
  </si>
  <si>
    <t>distribúcia elektriny VT</t>
  </si>
  <si>
    <t>distribúcia elektriny NT</t>
  </si>
  <si>
    <t>distribúcia elektriny NT + straty</t>
  </si>
  <si>
    <t>distribúcia elektriny VT + straty</t>
  </si>
  <si>
    <t>X2-S</t>
  </si>
  <si>
    <t>distribúcia elektriny znížená o 5%</t>
  </si>
  <si>
    <t>distribúcia elektriny znížená o 10%</t>
  </si>
  <si>
    <t>X2-D</t>
  </si>
  <si>
    <t>C11</t>
  </si>
  <si>
    <t>Súčet</t>
  </si>
  <si>
    <t>C10</t>
  </si>
  <si>
    <t>C9</t>
  </si>
  <si>
    <t>C8</t>
  </si>
  <si>
    <t>C7</t>
  </si>
  <si>
    <t>C6</t>
  </si>
  <si>
    <t>C5</t>
  </si>
  <si>
    <t>C4</t>
  </si>
  <si>
    <t>C3</t>
  </si>
  <si>
    <t>C1</t>
  </si>
  <si>
    <t>D8</t>
  </si>
  <si>
    <t>D7</t>
  </si>
  <si>
    <t>D6</t>
  </si>
  <si>
    <t>X2 (ADAPT)</t>
  </si>
  <si>
    <t>prístup do distribučnej sústavy ADAPT</t>
  </si>
  <si>
    <t>prístup do distribučnej sústavy 1M</t>
  </si>
  <si>
    <t>prístup do distribučnej sústavy 3M</t>
  </si>
  <si>
    <t>prístup do distribučnej sústavy 12M</t>
  </si>
  <si>
    <t>[m.j.]</t>
  </si>
  <si>
    <t>prístup do distribučnej sústavy 1M (do 5000 kW vrátane) - nadštandard</t>
  </si>
  <si>
    <t>prístup do distribučnej sústavy 3M (do 5000 kW vrátane) - nadštandard</t>
  </si>
  <si>
    <t>prístup do distribučnej sústavy 12M (do 5000 kW vrátane) - nadštandard</t>
  </si>
  <si>
    <t>prístup do distribučnej sústavy 1M (nad 5000 kW) - nadštandard</t>
  </si>
  <si>
    <t>prístup do distribučnej sústavy 3M (nad 5000 kW) - nadštandard</t>
  </si>
  <si>
    <t>prístup do distribučnej sústavy 12M (nad 5000 kW) - nadštandard</t>
  </si>
  <si>
    <t>prístup do distribučnej sústavy 1M (do 50000 kW vrátane) - nadštandard</t>
  </si>
  <si>
    <t>prístup do distribučnej sústavy 3M (do 50000 kW vrátane) - nadštandard</t>
  </si>
  <si>
    <t>prístup do distribučnej sústavy 12M (do 50000 kW vrátane) - nadštandard</t>
  </si>
  <si>
    <t>prístup do distribučnej sústavy 12M (nad 50000 kW) - nadštandard</t>
  </si>
  <si>
    <t>prístup do distribučnej sústavy 1M (nad 50000 kW) - nadštandard</t>
  </si>
  <si>
    <t>prístup do distribučnej sústavy 3M (nad 50000 kW) - nadštandard</t>
  </si>
  <si>
    <t>distribúcia elektriny znížená o 5% + straty</t>
  </si>
  <si>
    <t>distribúcia elektriny znížená o 10% + straty</t>
  </si>
  <si>
    <t>Poznámky:</t>
  </si>
  <si>
    <t>prístup do distribučnej sústavy (nevidiaci)</t>
  </si>
  <si>
    <t>prístup do distribučnej sústavy rezervovaný transformačný výkon</t>
  </si>
  <si>
    <t>D9</t>
  </si>
  <si>
    <t>D10</t>
  </si>
  <si>
    <t>distribúcia elektriny VVT</t>
  </si>
  <si>
    <t>distribúcia elektriny VVT + straty</t>
  </si>
  <si>
    <t>distribúcia elektriny VNT</t>
  </si>
  <si>
    <t>distribúcia elektriny VNT + straty</t>
  </si>
  <si>
    <t>prístup do distribučnej sústavy v A</t>
  </si>
  <si>
    <t>prístup do distribučnej sústavy v kW</t>
  </si>
  <si>
    <t>C12</t>
  </si>
  <si>
    <t>C13</t>
  </si>
  <si>
    <r>
      <t xml:space="preserve">m.j. </t>
    </r>
    <r>
      <rPr>
        <vertAlign val="superscript"/>
        <sz val="9"/>
        <rFont val="Calibri"/>
        <family val="2"/>
        <charset val="238"/>
        <scheme val="minor"/>
      </rPr>
      <t>2</t>
    </r>
  </si>
  <si>
    <t xml:space="preserve">Odberatelia elektriny v domácnosti pripojení na napäťovú úroveň nízkeho napätia
</t>
  </si>
  <si>
    <t>OM</t>
  </si>
  <si>
    <t>Mesiac: XXXX v roku 2024                                                     PRDS: XXXX</t>
  </si>
  <si>
    <t>10W</t>
  </si>
  <si>
    <r>
      <t xml:space="preserve">Distribuované množstvo elektriny (podliehajúce kompenzácii) </t>
    </r>
    <r>
      <rPr>
        <vertAlign val="superscript"/>
        <sz val="14"/>
        <color theme="0"/>
        <rFont val="Calibri"/>
        <family val="2"/>
        <scheme val="minor"/>
      </rPr>
      <t>5</t>
    </r>
  </si>
  <si>
    <t>[MWh]</t>
  </si>
  <si>
    <t>[€/MWh]</t>
  </si>
  <si>
    <r>
      <t xml:space="preserve">Príloha k žiadosti o poskytnutie kompenzácie vybraných druhov taríf pre odberateľov elektriny v domácnosti a pre ostatných koncových odberateľov elektriny </t>
    </r>
    <r>
      <rPr>
        <vertAlign val="superscript"/>
        <sz val="15"/>
        <rFont val="Calibri"/>
        <family val="2"/>
        <charset val="238"/>
        <scheme val="minor"/>
      </rPr>
      <t>1</t>
    </r>
  </si>
  <si>
    <t>Tarifa na rok 2022 podľa rozhodnutia ÚRSO č. 
XXXX</t>
  </si>
  <si>
    <t>Tarifa na rok 2024 podľa rozhodnutia ÚRSO č.
XXXX</t>
  </si>
  <si>
    <r>
      <t xml:space="preserve">Rozdiel </t>
    </r>
    <r>
      <rPr>
        <vertAlign val="superscript"/>
        <sz val="9"/>
        <rFont val="Calibri"/>
        <family val="2"/>
        <charset val="238"/>
        <scheme val="minor"/>
      </rPr>
      <t>3</t>
    </r>
    <r>
      <rPr>
        <sz val="9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[3]-[2]
</t>
    </r>
  </si>
  <si>
    <r>
      <t xml:space="preserve">Kompenzácia </t>
    </r>
    <r>
      <rPr>
        <vertAlign val="superscript"/>
        <sz val="9"/>
        <rFont val="Calibri"/>
        <family val="2"/>
        <charset val="238"/>
        <scheme val="minor"/>
      </rPr>
      <t>4</t>
    </r>
    <r>
      <rPr>
        <sz val="9"/>
        <rFont val="Calibri"/>
        <family val="2"/>
        <scheme val="minor"/>
      </rPr>
      <t xml:space="preserve">
[1]x[4]           
                                                                           </t>
    </r>
  </si>
  <si>
    <t>Množstvo</t>
  </si>
  <si>
    <t>4 Kompenzácia sa zaokrúhľuje na 2 desatinné miesta.</t>
  </si>
  <si>
    <t>MWh</t>
  </si>
  <si>
    <t xml:space="preserve">Tarify podľa rozhodnutí ÚRSO na roky 2022 a 2024, ktoré sa uplatňujú na distribuované množstvo sa uvedú v €/MWh </t>
  </si>
  <si>
    <t>2 Vyplní PMDS podľa cenového rozhodnutia ÚRSO pre PRDS alebo PMDS.</t>
  </si>
  <si>
    <t>3 V prípade, že rozdiel je menší alebo rovný 0, tak PMDS nežiada o kompenzáciu a nevypĺňa stĺpec č. 1 (množstvo v technických jednotkách).</t>
  </si>
  <si>
    <t>6 Priemerná kompenzácia za vybrané druhy taríf / MWh sa zaokrúhľuje na 6 desatinných miest (použije sa na žiadosť PMDS o kompenzáciu na MH SR).</t>
  </si>
  <si>
    <t>7 Údaje v bunkách s červených pozadím vstupujú do žiadosti PMDS o kompenzáciu na MH SR.</t>
  </si>
  <si>
    <t>Tarify podľa rozhodnutí ÚRSO na roky 2022 a 2024, ktoré sa uplatňujú na distribuované množstvo sa uvedú v €/MWh.</t>
  </si>
  <si>
    <t>1 Bunky so zeleným pozadím vypĺňa PMDS kde sa uvedú hodnoty a premenné zodpovedajúce nátoku z nadradenej distribučnej sústavy.</t>
  </si>
  <si>
    <t>Hodnota nátoku z nadradenej siete predstavuje hodnotu o ktorú bude výsledná kompenzácia pre PMDS ponížená a bola vypočítaná ako násobok sumárneho rozdielu cien vybraných druhov taríf a distribuovaného množstva elektriny podliehajúce kompenzácii</t>
  </si>
  <si>
    <t>Spolu hodnota nátoku bez DPH</t>
  </si>
  <si>
    <t>EIC hraničné odber susedná sústava</t>
  </si>
  <si>
    <t>Link URSO</t>
  </si>
  <si>
    <t>1 Bunky so zeleným pozadím vypĺňa PMDS</t>
  </si>
  <si>
    <t>Výsledná kompenzácia ponížená o hodnotu nátoku bez DPH</t>
  </si>
  <si>
    <t>Hodnota nátoku z nadradenej siete pre účely kompenzácie bez DPH</t>
  </si>
  <si>
    <t>Mesiac: XXXX v roku 2024                                                     PMDS: XXXX</t>
  </si>
  <si>
    <t>Spolu bez DPH</t>
  </si>
  <si>
    <t>rozdiel ziadost</t>
  </si>
  <si>
    <t xml:space="preserve">rozdiel v eur                                                                          </t>
  </si>
  <si>
    <t xml:space="preserve">rozdiel v eur                                                                 </t>
  </si>
  <si>
    <t xml:space="preserve">rozdiel v eur                                                                           </t>
  </si>
  <si>
    <t>Rozdiel nadradena formular vs uvedena v natoku</t>
  </si>
  <si>
    <t>rozdiel</t>
  </si>
  <si>
    <t>MW</t>
  </si>
  <si>
    <t>MVA</t>
  </si>
  <si>
    <t>Skryt</t>
  </si>
  <si>
    <t>Vážený priemer NN domácnosti</t>
  </si>
  <si>
    <t>Vážený priemer ostatní koncoví odberatelia NN</t>
  </si>
  <si>
    <t>Vážený priemer ostatní odberatelia koncoví VN</t>
  </si>
  <si>
    <t>Vážený priemer ostatní koncoví odberatelia VVN</t>
  </si>
  <si>
    <t>SUMA S DPH</t>
  </si>
  <si>
    <r>
      <t xml:space="preserve">Sumárny rozdiel cien vybraných druhov taríf </t>
    </r>
    <r>
      <rPr>
        <vertAlign val="superscript"/>
        <sz val="16"/>
        <color theme="0"/>
        <rFont val="Calibri"/>
        <family val="2"/>
        <charset val="238"/>
        <scheme val="minor"/>
      </rPr>
      <t>6</t>
    </r>
  </si>
  <si>
    <t>bez dph</t>
  </si>
  <si>
    <t>s dph</t>
  </si>
  <si>
    <t>bez DPH</t>
  </si>
  <si>
    <t>s DPH</t>
  </si>
  <si>
    <t>medzisucty</t>
  </si>
  <si>
    <t>mnozstvo</t>
  </si>
  <si>
    <t>pocet</t>
  </si>
  <si>
    <t>Q</t>
  </si>
  <si>
    <t>PRIEMER</t>
  </si>
  <si>
    <t>TEST S DPH</t>
  </si>
  <si>
    <t>CHYBA</t>
  </si>
  <si>
    <t>POCET CELKOVY</t>
  </si>
  <si>
    <t>5 Spotreba podiehajúca kompenzácii sa zaokrúhľuje na 3 desatinné miesta (použije sa na žiadosť PMDS o kompenzáciu na MH SR).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</si>
</sst>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-* #,##0.00\ _€_-;\-* #,##0.00\ _€_-;_-* &quot;-&quot;??\ _€_-;_-@_-"/>
    <numFmt numFmtId="165" formatCode="#,##0.00\ &quot;€&quot;"/>
    <numFmt numFmtId="166" formatCode="#,##0.00_ ;\-#,##0.00\ "/>
    <numFmt numFmtId="167" formatCode="_-* #,##0.000000\ _€_-;\-* #,##0.000000\ _€_-;_-* &quot;-&quot;??\ _€_-;_-@_-"/>
    <numFmt numFmtId="168" formatCode="_-* #,##0\ _€_-;\-* #,##0\ _€_-;_-* &quot;-&quot;??\ _€_-;_-@_-"/>
    <numFmt numFmtId="169" formatCode="0.000000"/>
    <numFmt numFmtId="170" formatCode="#,##0.000000"/>
    <numFmt numFmtId="171" formatCode="#,##0.000000_ ;\-#,##0.000000\ "/>
    <numFmt numFmtId="172" formatCode="0.000"/>
    <numFmt numFmtId="173" formatCode="#,##0.00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rgb="FFA10D29"/>
      <name val="Calibri"/>
      <family val="2"/>
      <charset val="238"/>
      <scheme val="minor"/>
    </font>
    <font>
      <b/>
      <sz val="11"/>
      <color rgb="FFA10D29"/>
      <name val="Calibri"/>
      <family val="2"/>
      <charset val="238"/>
      <scheme val="minor"/>
    </font>
    <font>
      <strike/>
      <sz val="11"/>
      <name val="Calibri"/>
      <family val="2"/>
    </font>
    <font>
      <strike/>
      <sz val="11"/>
      <name val="Calibri"/>
      <family val="2"/>
      <scheme val="minor"/>
    </font>
    <font>
      <sz val="11"/>
      <name val="Calibri"/>
      <family val="2"/>
      <charset val="238"/>
    </font>
    <font>
      <sz val="11"/>
      <name val="Calibri Light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5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vertAlign val="superscript"/>
      <sz val="15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vertAlign val="superscript"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3399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vertAlign val="superscript"/>
      <sz val="22"/>
      <color theme="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charset val="238"/>
      <scheme val="minor"/>
    </font>
    <font>
      <vertAlign val="superscript"/>
      <sz val="16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8" fillId="0" borderId="0">
      <alignment vertical="center"/>
    </xf>
    <xf numFmtId="0" fontId="44" fillId="0" borderId="0" applyNumberFormat="0" applyFill="0" applyBorder="0" applyAlignment="0" applyProtection="0"/>
  </cellStyleXfs>
  <cellXfs count="249">
    <xf numFmtId="0" fontId="0" fillId="0" borderId="0" xfId="0"/>
    <xf numFmtId="0" fontId="4" fillId="0" borderId="0" xfId="0" applyFont="1"/>
    <xf numFmtId="0" fontId="11" fillId="0" borderId="0" xfId="0" applyFont="1"/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15" fillId="0" borderId="0" xfId="4" applyFont="1"/>
    <xf numFmtId="0" fontId="24" fillId="5" borderId="5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2" fontId="24" fillId="5" borderId="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16" fillId="0" borderId="0" xfId="0" applyFont="1"/>
    <xf numFmtId="0" fontId="8" fillId="3" borderId="0" xfId="0" applyFont="1" applyFill="1"/>
    <xf numFmtId="0" fontId="17" fillId="0" borderId="0" xfId="0" applyFont="1"/>
    <xf numFmtId="0" fontId="5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49" fontId="12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4" fillId="0" borderId="0" xfId="0" applyFont="1"/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0" fillId="4" borderId="1" xfId="0" applyFill="1" applyBorder="1" applyProtection="1">
      <protection locked="0"/>
    </xf>
    <xf numFmtId="0" fontId="5" fillId="4" borderId="1" xfId="0" applyFont="1" applyFill="1" applyBorder="1" applyAlignment="1" applyProtection="1">
      <alignment horizontal="right"/>
      <protection locked="0"/>
    </xf>
    <xf numFmtId="0" fontId="6" fillId="4" borderId="1" xfId="0" applyFont="1" applyFill="1" applyBorder="1" applyProtection="1">
      <protection locked="0"/>
    </xf>
    <xf numFmtId="0" fontId="11" fillId="4" borderId="1" xfId="0" applyFont="1" applyFill="1" applyBorder="1" applyProtection="1">
      <protection locked="0"/>
    </xf>
    <xf numFmtId="0" fontId="0" fillId="0" borderId="0" xfId="0" applyAlignment="1">
      <alignment horizontal="left" vertical="top" wrapText="1"/>
    </xf>
    <xf numFmtId="0" fontId="1" fillId="0" borderId="0" xfId="0" applyFont="1"/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 applyProtection="1">
      <alignment horizontal="center" vertical="center" wrapText="1"/>
      <protection hidden="1"/>
    </xf>
    <xf numFmtId="0" fontId="29" fillId="0" borderId="5" xfId="0" applyFont="1" applyBorder="1" applyAlignment="1" applyProtection="1">
      <alignment horizontal="center" vertical="center"/>
      <protection hidden="1"/>
    </xf>
    <xf numFmtId="169" fontId="29" fillId="0" borderId="5" xfId="0" applyNumberFormat="1" applyFont="1" applyFill="1" applyBorder="1" applyAlignment="1" applyProtection="1">
      <alignment horizontal="center" vertical="center"/>
      <protection hidden="1"/>
    </xf>
    <xf numFmtId="169" fontId="31" fillId="0" borderId="5" xfId="0" applyNumberFormat="1" applyFont="1" applyBorder="1" applyAlignment="1" applyProtection="1">
      <alignment horizontal="center" vertical="center"/>
      <protection hidden="1"/>
    </xf>
    <xf numFmtId="0" fontId="33" fillId="0" borderId="5" xfId="0" applyFont="1" applyBorder="1" applyAlignment="1" applyProtection="1">
      <alignment horizontal="center" vertical="center"/>
      <protection hidden="1"/>
    </xf>
    <xf numFmtId="0" fontId="34" fillId="9" borderId="5" xfId="0" applyFont="1" applyFill="1" applyBorder="1" applyAlignment="1" applyProtection="1">
      <alignment horizontal="center" vertical="center" wrapText="1"/>
      <protection locked="0"/>
    </xf>
    <xf numFmtId="169" fontId="29" fillId="9" borderId="5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169" fontId="29" fillId="0" borderId="5" xfId="0" applyNumberFormat="1" applyFont="1" applyBorder="1" applyAlignment="1" applyProtection="1">
      <alignment horizontal="center" vertical="center"/>
      <protection hidden="1"/>
    </xf>
    <xf numFmtId="169" fontId="31" fillId="9" borderId="5" xfId="0" applyNumberFormat="1" applyFont="1" applyFill="1" applyBorder="1" applyAlignment="1" applyProtection="1">
      <alignment horizontal="center" vertical="center"/>
      <protection locked="0" hidden="1"/>
    </xf>
    <xf numFmtId="0" fontId="42" fillId="0" borderId="0" xfId="0" applyFont="1" applyBorder="1" applyAlignment="1">
      <alignment vertical="center"/>
    </xf>
    <xf numFmtId="0" fontId="29" fillId="0" borderId="10" xfId="0" applyFont="1" applyBorder="1" applyAlignment="1" applyProtection="1">
      <alignment horizontal="center" vertical="center" wrapText="1"/>
      <protection hidden="1"/>
    </xf>
    <xf numFmtId="0" fontId="29" fillId="0" borderId="10" xfId="0" applyFont="1" applyBorder="1" applyAlignment="1" applyProtection="1">
      <alignment horizontal="center" vertical="center"/>
      <protection hidden="1"/>
    </xf>
    <xf numFmtId="169" fontId="29" fillId="0" borderId="5" xfId="3" applyNumberFormat="1" applyFont="1" applyFill="1" applyBorder="1" applyAlignment="1" applyProtection="1">
      <alignment vertical="center"/>
      <protection hidden="1"/>
    </xf>
    <xf numFmtId="169" fontId="31" fillId="0" borderId="5" xfId="3" applyNumberFormat="1" applyFont="1" applyFill="1" applyBorder="1" applyAlignment="1" applyProtection="1">
      <alignment vertical="center"/>
      <protection hidden="1"/>
    </xf>
    <xf numFmtId="169" fontId="33" fillId="2" borderId="5" xfId="3" applyNumberFormat="1" applyFont="1" applyFill="1" applyBorder="1" applyAlignment="1" applyProtection="1">
      <alignment horizontal="center" vertical="center"/>
      <protection hidden="1"/>
    </xf>
    <xf numFmtId="0" fontId="29" fillId="0" borderId="25" xfId="0" applyFont="1" applyFill="1" applyBorder="1" applyAlignment="1" applyProtection="1">
      <alignment horizontal="center" vertical="center"/>
      <protection hidden="1"/>
    </xf>
    <xf numFmtId="166" fontId="29" fillId="0" borderId="26" xfId="3" applyNumberFormat="1" applyFont="1" applyFill="1" applyBorder="1" applyAlignment="1" applyProtection="1">
      <alignment vertical="center"/>
      <protection hidden="1"/>
    </xf>
    <xf numFmtId="0" fontId="29" fillId="0" borderId="28" xfId="0" applyFont="1" applyFill="1" applyBorder="1" applyAlignment="1" applyProtection="1">
      <alignment horizontal="center" vertical="center"/>
      <protection hidden="1"/>
    </xf>
    <xf numFmtId="166" fontId="29" fillId="0" borderId="29" xfId="3" applyNumberFormat="1" applyFont="1" applyFill="1" applyBorder="1" applyAlignment="1" applyProtection="1">
      <alignment vertical="center"/>
      <protection hidden="1"/>
    </xf>
    <xf numFmtId="0" fontId="45" fillId="0" borderId="25" xfId="0" applyFont="1" applyFill="1" applyBorder="1" applyAlignment="1" applyProtection="1">
      <alignment horizontal="center" vertical="center"/>
      <protection hidden="1"/>
    </xf>
    <xf numFmtId="166" fontId="45" fillId="0" borderId="26" xfId="3" applyNumberFormat="1" applyFont="1" applyFill="1" applyBorder="1" applyAlignment="1" applyProtection="1">
      <alignment vertical="center"/>
      <protection hidden="1"/>
    </xf>
    <xf numFmtId="0" fontId="45" fillId="0" borderId="31" xfId="0" applyFont="1" applyFill="1" applyBorder="1" applyAlignment="1" applyProtection="1">
      <alignment horizontal="center" vertical="center"/>
      <protection hidden="1"/>
    </xf>
    <xf numFmtId="166" fontId="45" fillId="0" borderId="32" xfId="3" applyNumberFormat="1" applyFont="1" applyFill="1" applyBorder="1" applyAlignment="1" applyProtection="1">
      <alignment vertical="center"/>
      <protection hidden="1"/>
    </xf>
    <xf numFmtId="169" fontId="29" fillId="9" borderId="5" xfId="3" applyNumberFormat="1" applyFont="1" applyFill="1" applyBorder="1" applyAlignment="1" applyProtection="1">
      <alignment horizontal="center" vertical="center"/>
      <protection locked="0" hidden="1"/>
    </xf>
    <xf numFmtId="169" fontId="31" fillId="9" borderId="5" xfId="3" applyNumberFormat="1" applyFont="1" applyFill="1" applyBorder="1" applyAlignment="1" applyProtection="1">
      <alignment horizontal="center" vertical="center"/>
      <protection locked="0" hidden="1"/>
    </xf>
    <xf numFmtId="168" fontId="29" fillId="9" borderId="5" xfId="3" applyNumberFormat="1" applyFont="1" applyFill="1" applyBorder="1" applyAlignment="1" applyProtection="1">
      <alignment vertical="center"/>
      <protection locked="0" hidden="1"/>
    </xf>
    <xf numFmtId="164" fontId="29" fillId="9" borderId="5" xfId="3" applyNumberFormat="1" applyFont="1" applyFill="1" applyBorder="1" applyAlignment="1" applyProtection="1">
      <alignment vertical="center"/>
      <protection locked="0" hidden="1"/>
    </xf>
    <xf numFmtId="166" fontId="33" fillId="2" borderId="5" xfId="3" applyNumberFormat="1" applyFont="1" applyFill="1" applyBorder="1" applyAlignment="1" applyProtection="1">
      <alignment vertical="center"/>
      <protection hidden="1"/>
    </xf>
    <xf numFmtId="164" fontId="31" fillId="9" borderId="5" xfId="3" applyNumberFormat="1" applyFont="1" applyFill="1" applyBorder="1" applyAlignment="1" applyProtection="1">
      <alignment vertical="center"/>
      <protection locked="0" hidden="1"/>
    </xf>
    <xf numFmtId="168" fontId="31" fillId="9" borderId="5" xfId="3" applyNumberFormat="1" applyFont="1" applyFill="1" applyBorder="1" applyAlignment="1" applyProtection="1">
      <alignment vertical="center"/>
      <protection locked="0" hidden="1"/>
    </xf>
    <xf numFmtId="169" fontId="0" fillId="0" borderId="0" xfId="0" applyNumberFormat="1"/>
    <xf numFmtId="169" fontId="33" fillId="2" borderId="33" xfId="3" applyNumberFormat="1" applyFont="1" applyFill="1" applyBorder="1" applyAlignment="1" applyProtection="1">
      <alignment horizontal="center" vertical="center"/>
      <protection locked="0" hidden="1"/>
    </xf>
    <xf numFmtId="168" fontId="29" fillId="9" borderId="5" xfId="3" applyNumberFormat="1" applyFont="1" applyFill="1" applyBorder="1" applyAlignment="1" applyProtection="1">
      <alignment horizontal="center" vertical="center"/>
      <protection locked="0" hidden="1"/>
    </xf>
    <xf numFmtId="169" fontId="0" fillId="11" borderId="0" xfId="0" applyNumberFormat="1" applyFill="1"/>
    <xf numFmtId="0" fontId="0" fillId="11" borderId="0" xfId="0" applyFill="1"/>
    <xf numFmtId="0" fontId="0" fillId="0" borderId="0" xfId="0" applyBorder="1" applyAlignment="1" applyProtection="1">
      <alignment vertical="center"/>
      <protection locked="0"/>
    </xf>
    <xf numFmtId="0" fontId="0" fillId="9" borderId="1" xfId="0" applyNumberFormat="1" applyFill="1" applyBorder="1" applyAlignment="1" applyProtection="1">
      <alignment vertical="center"/>
      <protection locked="0"/>
    </xf>
    <xf numFmtId="0" fontId="44" fillId="9" borderId="1" xfId="1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37" fillId="0" borderId="0" xfId="0" applyFont="1" applyBorder="1" applyAlignment="1" applyProtection="1">
      <alignment vertical="center"/>
      <protection hidden="1"/>
    </xf>
    <xf numFmtId="0" fontId="29" fillId="0" borderId="5" xfId="0" applyFont="1" applyFill="1" applyBorder="1" applyAlignment="1" applyProtection="1">
      <alignment vertical="center" wrapText="1"/>
      <protection hidden="1"/>
    </xf>
    <xf numFmtId="0" fontId="31" fillId="0" borderId="5" xfId="0" applyFont="1" applyBorder="1" applyAlignment="1" applyProtection="1">
      <alignment vertical="center" wrapText="1"/>
      <protection hidden="1"/>
    </xf>
    <xf numFmtId="0" fontId="29" fillId="0" borderId="5" xfId="0" applyFont="1" applyBorder="1" applyAlignment="1" applyProtection="1">
      <alignment vertical="center" wrapText="1"/>
      <protection hidden="1"/>
    </xf>
    <xf numFmtId="0" fontId="34" fillId="0" borderId="5" xfId="0" applyFont="1" applyFill="1" applyBorder="1" applyAlignment="1" applyProtection="1">
      <alignment vertical="center" wrapText="1"/>
      <protection hidden="1"/>
    </xf>
    <xf numFmtId="0" fontId="33" fillId="0" borderId="5" xfId="0" applyFont="1" applyFill="1" applyBorder="1" applyAlignment="1" applyProtection="1">
      <alignment vertical="center" wrapText="1"/>
      <protection hidden="1"/>
    </xf>
    <xf numFmtId="0" fontId="29" fillId="0" borderId="27" xfId="0" applyFont="1" applyFill="1" applyBorder="1" applyAlignment="1" applyProtection="1">
      <alignment vertical="center" wrapText="1"/>
      <protection hidden="1"/>
    </xf>
    <xf numFmtId="0" fontId="29" fillId="0" borderId="24" xfId="0" applyFont="1" applyFill="1" applyBorder="1" applyAlignment="1" applyProtection="1">
      <alignment vertical="center" wrapText="1"/>
      <protection hidden="1"/>
    </xf>
    <xf numFmtId="0" fontId="45" fillId="0" borderId="30" xfId="0" applyFont="1" applyFill="1" applyBorder="1" applyAlignment="1" applyProtection="1">
      <alignment vertical="center" wrapText="1"/>
      <protection hidden="1"/>
    </xf>
    <xf numFmtId="0" fontId="33" fillId="0" borderId="5" xfId="0" applyFont="1" applyFill="1" applyBorder="1" applyAlignment="1" applyProtection="1">
      <alignment horizontal="center" vertical="center" wrapText="1"/>
      <protection hidden="1"/>
    </xf>
    <xf numFmtId="0" fontId="33" fillId="0" borderId="6" xfId="0" applyFont="1" applyFill="1" applyBorder="1" applyAlignment="1" applyProtection="1">
      <alignment horizontal="center" vertical="center" wrapText="1"/>
      <protection hidden="1"/>
    </xf>
    <xf numFmtId="0" fontId="29" fillId="0" borderId="28" xfId="0" applyFont="1" applyFill="1" applyBorder="1" applyAlignment="1" applyProtection="1">
      <alignment horizontal="center" vertical="center" wrapText="1"/>
      <protection hidden="1"/>
    </xf>
    <xf numFmtId="0" fontId="29" fillId="0" borderId="25" xfId="0" applyFont="1" applyFill="1" applyBorder="1" applyAlignment="1" applyProtection="1">
      <alignment horizontal="center" vertical="center" wrapText="1"/>
      <protection hidden="1"/>
    </xf>
    <xf numFmtId="0" fontId="45" fillId="0" borderId="31" xfId="0" applyFont="1" applyFill="1" applyBorder="1" applyAlignment="1" applyProtection="1">
      <alignment horizontal="center" vertical="center" wrapText="1"/>
      <protection hidden="1"/>
    </xf>
    <xf numFmtId="0" fontId="29" fillId="0" borderId="5" xfId="0" applyFont="1" applyBorder="1" applyAlignment="1" applyProtection="1">
      <alignment horizontal="center" vertical="center" wrapText="1"/>
    </xf>
    <xf numFmtId="169" fontId="33" fillId="2" borderId="6" xfId="3" applyNumberFormat="1" applyFont="1" applyFill="1" applyBorder="1" applyAlignment="1" applyProtection="1">
      <alignment horizontal="center" vertical="center"/>
      <protection hidden="1"/>
    </xf>
    <xf numFmtId="169" fontId="31" fillId="2" borderId="5" xfId="3" applyNumberFormat="1" applyFont="1" applyFill="1" applyBorder="1" applyAlignment="1" applyProtection="1">
      <alignment horizontal="center" vertical="center"/>
      <protection hidden="1"/>
    </xf>
    <xf numFmtId="169" fontId="31" fillId="2" borderId="6" xfId="3" applyNumberFormat="1" applyFont="1" applyFill="1" applyBorder="1" applyAlignment="1" applyProtection="1">
      <alignment horizontal="center" vertical="center"/>
      <protection hidden="1"/>
    </xf>
    <xf numFmtId="0" fontId="0" fillId="10" borderId="1" xfId="0" applyFill="1" applyBorder="1" applyAlignment="1" applyProtection="1">
      <alignment vertical="center"/>
      <protection hidden="1"/>
    </xf>
    <xf numFmtId="0" fontId="0" fillId="0" borderId="23" xfId="0" applyBorder="1" applyAlignment="1" applyProtection="1">
      <alignment vertical="center"/>
      <protection hidden="1"/>
    </xf>
    <xf numFmtId="4" fontId="38" fillId="7" borderId="14" xfId="0" applyNumberFormat="1" applyFont="1" applyFill="1" applyBorder="1" applyAlignment="1" applyProtection="1">
      <alignment vertical="center"/>
      <protection hidden="1"/>
    </xf>
    <xf numFmtId="0" fontId="38" fillId="7" borderId="15" xfId="0" applyFont="1" applyFill="1" applyBorder="1" applyAlignment="1" applyProtection="1">
      <alignment horizontal="center" vertical="center"/>
      <protection hidden="1"/>
    </xf>
    <xf numFmtId="0" fontId="40" fillId="0" borderId="17" xfId="0" applyFont="1" applyFill="1" applyBorder="1" applyAlignment="1" applyProtection="1">
      <alignment horizontal="center" vertical="center" wrapText="1"/>
      <protection hidden="1"/>
    </xf>
    <xf numFmtId="170" fontId="38" fillId="8" borderId="21" xfId="0" applyNumberFormat="1" applyFont="1" applyFill="1" applyBorder="1" applyAlignment="1" applyProtection="1">
      <alignment vertical="center"/>
      <protection hidden="1"/>
    </xf>
    <xf numFmtId="0" fontId="40" fillId="0" borderId="22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37" fillId="0" borderId="0" xfId="0" applyFont="1" applyBorder="1" applyAlignment="1" applyProtection="1">
      <alignment horizontal="center" vertical="center"/>
      <protection hidden="1"/>
    </xf>
    <xf numFmtId="0" fontId="45" fillId="0" borderId="24" xfId="0" applyFont="1" applyFill="1" applyBorder="1" applyAlignment="1" applyProtection="1">
      <alignment vertical="center" wrapText="1"/>
      <protection hidden="1"/>
    </xf>
    <xf numFmtId="0" fontId="32" fillId="2" borderId="5" xfId="0" applyFont="1" applyFill="1" applyBorder="1" applyAlignment="1" applyProtection="1">
      <alignment vertical="center" wrapText="1"/>
      <protection hidden="1"/>
    </xf>
    <xf numFmtId="0" fontId="32" fillId="2" borderId="6" xfId="0" applyFont="1" applyFill="1" applyBorder="1" applyAlignment="1" applyProtection="1">
      <alignment vertical="center" wrapText="1"/>
      <protection hidden="1"/>
    </xf>
    <xf numFmtId="0" fontId="45" fillId="0" borderId="25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10" borderId="0" xfId="0" applyFill="1" applyBorder="1" applyAlignment="1" applyProtection="1">
      <alignment horizontal="center" vertical="center"/>
      <protection hidden="1"/>
    </xf>
    <xf numFmtId="0" fontId="0" fillId="10" borderId="0" xfId="0" applyFill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169" fontId="29" fillId="9" borderId="5" xfId="3" applyNumberFormat="1" applyFont="1" applyFill="1" applyBorder="1" applyAlignment="1" applyProtection="1">
      <alignment horizontal="center" vertical="center"/>
      <protection locked="0" hidden="1"/>
    </xf>
    <xf numFmtId="169" fontId="31" fillId="9" borderId="5" xfId="3" applyNumberFormat="1" applyFont="1" applyFill="1" applyBorder="1" applyAlignment="1" applyProtection="1">
      <alignment horizontal="center" vertical="center"/>
      <protection locked="0" hidden="1"/>
    </xf>
    <xf numFmtId="168" fontId="29" fillId="9" borderId="5" xfId="3" applyNumberFormat="1" applyFont="1" applyFill="1" applyBorder="1" applyAlignment="1" applyProtection="1">
      <alignment horizontal="center" vertical="center"/>
      <protection locked="0" hidden="1"/>
    </xf>
    <xf numFmtId="0" fontId="48" fillId="0" borderId="0" xfId="0" applyFont="1" applyBorder="1" applyAlignment="1" applyProtection="1">
      <alignment vertical="center"/>
      <protection hidden="1"/>
    </xf>
    <xf numFmtId="0" fontId="33" fillId="2" borderId="5" xfId="0" applyFont="1" applyFill="1" applyBorder="1" applyAlignment="1" applyProtection="1">
      <alignment horizontal="center" vertical="center" wrapText="1"/>
      <protection hidden="1"/>
    </xf>
    <xf numFmtId="167" fontId="33" fillId="2" borderId="5" xfId="3" applyNumberFormat="1" applyFont="1" applyFill="1" applyBorder="1" applyAlignment="1" applyProtection="1">
      <alignment horizontal="center" vertical="center"/>
      <protection hidden="1"/>
    </xf>
    <xf numFmtId="0" fontId="29" fillId="0" borderId="28" xfId="0" applyFont="1" applyBorder="1" applyAlignment="1" applyProtection="1">
      <alignment horizontal="center" vertical="center"/>
      <protection hidden="1"/>
    </xf>
    <xf numFmtId="0" fontId="29" fillId="0" borderId="25" xfId="0" applyFont="1" applyBorder="1" applyAlignment="1" applyProtection="1">
      <alignment horizontal="center" vertical="center"/>
      <protection hidden="1"/>
    </xf>
    <xf numFmtId="0" fontId="45" fillId="0" borderId="31" xfId="0" applyFont="1" applyBorder="1" applyAlignment="1" applyProtection="1">
      <alignment horizontal="center" vertical="center"/>
      <protection hidden="1"/>
    </xf>
    <xf numFmtId="0" fontId="34" fillId="9" borderId="5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Protection="1">
      <protection hidden="1"/>
    </xf>
    <xf numFmtId="0" fontId="29" fillId="9" borderId="5" xfId="0" applyFont="1" applyFill="1" applyBorder="1" applyAlignment="1" applyProtection="1">
      <alignment horizontal="center" vertical="center" wrapText="1"/>
      <protection locked="0" hidden="1"/>
    </xf>
    <xf numFmtId="0" fontId="31" fillId="9" borderId="5" xfId="0" applyFont="1" applyFill="1" applyBorder="1" applyAlignment="1" applyProtection="1">
      <alignment horizontal="center" vertical="center" wrapText="1"/>
      <protection locked="0" hidden="1"/>
    </xf>
    <xf numFmtId="0" fontId="29" fillId="9" borderId="6" xfId="0" applyFont="1" applyFill="1" applyBorder="1" applyAlignment="1" applyProtection="1">
      <alignment horizontal="center" vertical="center" wrapText="1"/>
      <protection locked="0" hidden="1"/>
    </xf>
    <xf numFmtId="0" fontId="46" fillId="9" borderId="5" xfId="0" applyFont="1" applyFill="1" applyBorder="1" applyAlignment="1" applyProtection="1">
      <alignment horizontal="center" vertical="center" wrapText="1"/>
      <protection locked="0" hidden="1"/>
    </xf>
    <xf numFmtId="171" fontId="31" fillId="2" borderId="5" xfId="3" applyNumberFormat="1" applyFont="1" applyFill="1" applyBorder="1" applyAlignment="1" applyProtection="1">
      <alignment horizontal="center" vertical="center"/>
      <protection hidden="1"/>
    </xf>
    <xf numFmtId="171" fontId="31" fillId="2" borderId="6" xfId="3" applyNumberFormat="1" applyFont="1" applyFill="1" applyBorder="1" applyAlignment="1" applyProtection="1">
      <alignment horizontal="center" vertical="center"/>
      <protection hidden="1"/>
    </xf>
    <xf numFmtId="0" fontId="48" fillId="8" borderId="0" xfId="0" applyFont="1" applyFill="1" applyBorder="1" applyAlignment="1" applyProtection="1">
      <alignment horizontal="right" vertical="center"/>
      <protection hidden="1"/>
    </xf>
    <xf numFmtId="0" fontId="48" fillId="8" borderId="0" xfId="0" applyFont="1" applyFill="1" applyBorder="1" applyAlignment="1" applyProtection="1">
      <alignment horizontal="right" vertical="center" wrapText="1"/>
      <protection hidden="1"/>
    </xf>
    <xf numFmtId="0" fontId="45" fillId="0" borderId="25" xfId="0" applyFont="1" applyBorder="1" applyAlignment="1" applyProtection="1">
      <alignment horizontal="center" vertical="center"/>
      <protection hidden="1"/>
    </xf>
    <xf numFmtId="0" fontId="49" fillId="7" borderId="0" xfId="0" applyFont="1" applyFill="1" applyBorder="1" applyAlignment="1" applyProtection="1">
      <alignment horizontal="right" vertical="center"/>
      <protection hidden="1"/>
    </xf>
    <xf numFmtId="164" fontId="49" fillId="7" borderId="0" xfId="3" applyFont="1" applyFill="1" applyBorder="1" applyAlignment="1" applyProtection="1">
      <alignment vertical="center"/>
      <protection hidden="1"/>
    </xf>
    <xf numFmtId="0" fontId="37" fillId="10" borderId="0" xfId="0" applyFont="1" applyFill="1" applyBorder="1" applyAlignment="1" applyProtection="1">
      <alignment vertical="center"/>
      <protection hidden="1"/>
    </xf>
    <xf numFmtId="0" fontId="41" fillId="0" borderId="0" xfId="0" applyFont="1" applyBorder="1" applyAlignment="1" applyProtection="1">
      <alignment vertical="center"/>
      <protection hidden="1"/>
    </xf>
    <xf numFmtId="49" fontId="0" fillId="9" borderId="1" xfId="0" applyNumberFormat="1" applyFill="1" applyBorder="1" applyAlignment="1" applyProtection="1">
      <alignment vertical="center"/>
      <protection locked="0"/>
    </xf>
    <xf numFmtId="168" fontId="29" fillId="9" borderId="5" xfId="3" applyNumberFormat="1" applyFont="1" applyFill="1" applyBorder="1" applyAlignment="1" applyProtection="1">
      <alignment horizontal="center" vertical="center"/>
      <protection locked="0" hidden="1"/>
    </xf>
    <xf numFmtId="0" fontId="47" fillId="10" borderId="5" xfId="0" applyFont="1" applyFill="1" applyBorder="1" applyAlignment="1" applyProtection="1">
      <alignment horizontal="center" vertical="center" wrapText="1"/>
      <protection hidden="1"/>
    </xf>
    <xf numFmtId="0" fontId="46" fillId="10" borderId="5" xfId="0" applyFont="1" applyFill="1" applyBorder="1" applyAlignment="1" applyProtection="1">
      <alignment horizontal="center" vertical="center" wrapText="1"/>
      <protection hidden="1"/>
    </xf>
    <xf numFmtId="0" fontId="0" fillId="9" borderId="1" xfId="0" applyNumberFormat="1" applyFill="1" applyBorder="1" applyAlignment="1" applyProtection="1">
      <alignment vertical="center"/>
      <protection locked="0" hidden="1"/>
    </xf>
    <xf numFmtId="49" fontId="0" fillId="9" borderId="1" xfId="0" applyNumberFormat="1" applyFill="1" applyBorder="1" applyAlignment="1" applyProtection="1">
      <alignment vertical="center"/>
      <protection locked="0" hidden="1"/>
    </xf>
    <xf numFmtId="169" fontId="29" fillId="9" borderId="5" xfId="3" applyNumberFormat="1" applyFont="1" applyFill="1" applyBorder="1" applyAlignment="1" applyProtection="1">
      <alignment horizontal="center" vertical="center"/>
      <protection locked="0" hidden="1"/>
    </xf>
    <xf numFmtId="0" fontId="42" fillId="0" borderId="0" xfId="0" applyFont="1" applyBorder="1" applyAlignment="1" applyProtection="1">
      <alignment vertical="center"/>
      <protection hidden="1"/>
    </xf>
    <xf numFmtId="0" fontId="37" fillId="10" borderId="0" xfId="0" applyFont="1" applyFill="1" applyBorder="1" applyAlignment="1" applyProtection="1">
      <alignment horizontal="center" vertical="center"/>
      <protection hidden="1"/>
    </xf>
    <xf numFmtId="169" fontId="29" fillId="0" borderId="0" xfId="3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Fill="1" applyBorder="1"/>
    <xf numFmtId="169" fontId="0" fillId="0" borderId="0" xfId="0" applyNumberFormat="1" applyFill="1" applyBorder="1"/>
    <xf numFmtId="169" fontId="29" fillId="9" borderId="5" xfId="3" applyNumberFormat="1" applyFont="1" applyFill="1" applyBorder="1" applyAlignment="1" applyProtection="1">
      <alignment horizontal="center" vertical="center"/>
      <protection locked="0" hidden="1"/>
    </xf>
    <xf numFmtId="169" fontId="31" fillId="9" borderId="5" xfId="3" applyNumberFormat="1" applyFont="1" applyFill="1" applyBorder="1" applyAlignment="1" applyProtection="1">
      <alignment horizontal="center" vertical="center"/>
      <protection locked="0" hidden="1"/>
    </xf>
    <xf numFmtId="172" fontId="51" fillId="8" borderId="6" xfId="3" applyNumberFormat="1" applyFont="1" applyFill="1" applyBorder="1" applyAlignment="1" applyProtection="1">
      <alignment horizontal="center" vertical="center"/>
      <protection hidden="1"/>
    </xf>
    <xf numFmtId="169" fontId="0" fillId="0" borderId="0" xfId="0" applyNumberFormat="1" applyBorder="1" applyAlignment="1">
      <alignment vertical="center"/>
    </xf>
    <xf numFmtId="172" fontId="0" fillId="0" borderId="0" xfId="0" applyNumberFormat="1" applyBorder="1" applyAlignment="1">
      <alignment vertical="center"/>
    </xf>
    <xf numFmtId="169" fontId="48" fillId="8" borderId="0" xfId="0" applyNumberFormat="1" applyFont="1" applyFill="1" applyBorder="1" applyAlignment="1" applyProtection="1">
      <alignment vertical="center"/>
      <protection hidden="1"/>
    </xf>
    <xf numFmtId="2" fontId="0" fillId="0" borderId="0" xfId="0" applyNumberFormat="1" applyBorder="1" applyAlignment="1">
      <alignment vertical="center"/>
    </xf>
    <xf numFmtId="169" fontId="0" fillId="0" borderId="0" xfId="0" applyNumberFormat="1" applyBorder="1" applyAlignment="1" applyProtection="1">
      <alignment vertical="center"/>
      <protection hidden="1"/>
    </xf>
    <xf numFmtId="166" fontId="0" fillId="0" borderId="0" xfId="0" applyNumberFormat="1" applyBorder="1" applyAlignment="1" applyProtection="1">
      <alignment vertical="center"/>
      <protection hidden="1"/>
    </xf>
    <xf numFmtId="4" fontId="0" fillId="0" borderId="0" xfId="0" applyNumberFormat="1" applyBorder="1" applyAlignment="1" applyProtection="1">
      <alignment vertical="center"/>
      <protection hidden="1"/>
    </xf>
    <xf numFmtId="166" fontId="37" fillId="0" borderId="0" xfId="0" applyNumberFormat="1" applyFont="1" applyBorder="1" applyAlignment="1" applyProtection="1">
      <alignment vertical="center"/>
      <protection hidden="1"/>
    </xf>
    <xf numFmtId="2" fontId="37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2" fontId="37" fillId="0" borderId="0" xfId="0" applyNumberFormat="1" applyFont="1" applyBorder="1" applyAlignment="1" applyProtection="1">
      <alignment vertical="center"/>
      <protection hidden="1"/>
    </xf>
    <xf numFmtId="173" fontId="38" fillId="8" borderId="5" xfId="0" applyNumberFormat="1" applyFont="1" applyFill="1" applyBorder="1" applyAlignment="1" applyProtection="1">
      <alignment vertical="center"/>
      <protection hidden="1"/>
    </xf>
    <xf numFmtId="172" fontId="33" fillId="2" borderId="5" xfId="3" applyNumberFormat="1" applyFont="1" applyFill="1" applyBorder="1" applyAlignment="1" applyProtection="1">
      <alignment horizontal="center" vertical="center"/>
      <protection hidden="1"/>
    </xf>
    <xf numFmtId="172" fontId="33" fillId="2" borderId="6" xfId="3" applyNumberFormat="1" applyFont="1" applyFill="1" applyBorder="1" applyAlignment="1" applyProtection="1">
      <alignment horizontal="center" vertical="center"/>
      <protection hidden="1"/>
    </xf>
    <xf numFmtId="169" fontId="29" fillId="9" borderId="5" xfId="3" applyNumberFormat="1" applyFont="1" applyFill="1" applyBorder="1" applyAlignment="1" applyProtection="1">
      <alignment horizontal="center" vertical="center"/>
      <protection locked="0" hidden="1"/>
    </xf>
    <xf numFmtId="169" fontId="31" fillId="9" borderId="5" xfId="3" applyNumberFormat="1" applyFont="1" applyFill="1" applyBorder="1" applyAlignment="1" applyProtection="1">
      <alignment horizontal="center" vertical="center"/>
      <protection locked="0" hidden="1"/>
    </xf>
    <xf numFmtId="172" fontId="37" fillId="0" borderId="0" xfId="0" applyNumberFormat="1" applyFont="1" applyBorder="1" applyAlignment="1" applyProtection="1">
      <alignment vertical="center"/>
      <protection hidden="1"/>
    </xf>
    <xf numFmtId="169" fontId="29" fillId="9" borderId="5" xfId="3" applyNumberFormat="1" applyFont="1" applyFill="1" applyBorder="1" applyAlignment="1" applyProtection="1">
      <alignment horizontal="center" vertical="center"/>
      <protection locked="0" hidden="1"/>
    </xf>
    <xf numFmtId="2" fontId="0" fillId="0" borderId="0" xfId="0" applyNumberFormat="1" applyBorder="1" applyAlignment="1" applyProtection="1">
      <alignment vertical="center"/>
      <protection hidden="1"/>
    </xf>
    <xf numFmtId="169" fontId="37" fillId="0" borderId="0" xfId="0" applyNumberFormat="1" applyFont="1" applyBorder="1" applyAlignment="1" applyProtection="1">
      <alignment vertical="center"/>
      <protection hidden="1"/>
    </xf>
    <xf numFmtId="166" fontId="0" fillId="11" borderId="0" xfId="0" applyNumberFormat="1" applyFill="1" applyBorder="1" applyAlignment="1" applyProtection="1">
      <alignment vertical="center"/>
      <protection hidden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1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8" fillId="3" borderId="0" xfId="0" applyFont="1" applyFill="1" applyAlignment="1"/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3" xfId="0" applyFont="1" applyFill="1" applyBorder="1" applyAlignment="1" applyProtection="1">
      <alignment horizontal="left"/>
      <protection locked="0"/>
    </xf>
    <xf numFmtId="0" fontId="4" fillId="4" borderId="4" xfId="0" applyFont="1" applyFill="1" applyBorder="1" applyAlignment="1" applyProtection="1">
      <alignment horizontal="left"/>
      <protection locked="0"/>
    </xf>
    <xf numFmtId="0" fontId="11" fillId="4" borderId="2" xfId="0" applyFont="1" applyFill="1" applyBorder="1" applyAlignment="1" applyProtection="1">
      <alignment horizontal="left"/>
      <protection locked="0"/>
    </xf>
    <xf numFmtId="0" fontId="11" fillId="4" borderId="3" xfId="0" applyFont="1" applyFill="1" applyBorder="1" applyAlignment="1" applyProtection="1">
      <alignment horizontal="left"/>
      <protection locked="0"/>
    </xf>
    <xf numFmtId="0" fontId="11" fillId="4" borderId="4" xfId="0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29" fillId="0" borderId="5" xfId="0" applyFont="1" applyFill="1" applyBorder="1" applyAlignment="1" applyProtection="1">
      <alignment horizontal="left" vertical="center" wrapText="1"/>
      <protection hidden="1"/>
    </xf>
    <xf numFmtId="0" fontId="29" fillId="0" borderId="5" xfId="0" applyFont="1" applyFill="1" applyBorder="1" applyAlignment="1" applyProtection="1">
      <alignment horizontal="center" vertical="center" wrapText="1"/>
      <protection hidden="1"/>
    </xf>
    <xf numFmtId="169" fontId="29" fillId="9" borderId="5" xfId="3" applyNumberFormat="1" applyFont="1" applyFill="1" applyBorder="1" applyAlignment="1" applyProtection="1">
      <alignment horizontal="center" vertical="center"/>
      <protection locked="0" hidden="1"/>
    </xf>
    <xf numFmtId="0" fontId="30" fillId="2" borderId="5" xfId="0" applyFont="1" applyFill="1" applyBorder="1" applyAlignment="1" applyProtection="1">
      <alignment horizontal="center" vertical="center"/>
      <protection hidden="1"/>
    </xf>
    <xf numFmtId="0" fontId="30" fillId="2" borderId="10" xfId="0" applyFont="1" applyFill="1" applyBorder="1" applyAlignment="1" applyProtection="1">
      <alignment horizontal="center" vertical="center"/>
      <protection hidden="1"/>
    </xf>
    <xf numFmtId="0" fontId="29" fillId="9" borderId="5" xfId="0" applyFont="1" applyFill="1" applyBorder="1" applyAlignment="1" applyProtection="1">
      <alignment vertical="center" wrapText="1"/>
      <protection locked="0"/>
    </xf>
    <xf numFmtId="169" fontId="29" fillId="9" borderId="6" xfId="3" applyNumberFormat="1" applyFont="1" applyFill="1" applyBorder="1" applyAlignment="1" applyProtection="1">
      <alignment horizontal="center" vertical="center"/>
      <protection locked="0" hidden="1"/>
    </xf>
    <xf numFmtId="169" fontId="29" fillId="9" borderId="8" xfId="3" applyNumberFormat="1" applyFont="1" applyFill="1" applyBorder="1" applyAlignment="1" applyProtection="1">
      <alignment horizontal="center" vertical="center"/>
      <protection locked="0" hidden="1"/>
    </xf>
    <xf numFmtId="169" fontId="29" fillId="9" borderId="7" xfId="3" applyNumberFormat="1" applyFont="1" applyFill="1" applyBorder="1" applyAlignment="1" applyProtection="1">
      <alignment horizontal="center" vertical="center"/>
      <protection locked="0" hidden="1"/>
    </xf>
    <xf numFmtId="0" fontId="31" fillId="0" borderId="5" xfId="0" applyFont="1" applyFill="1" applyBorder="1" applyAlignment="1" applyProtection="1">
      <alignment horizontal="left" vertical="center" wrapText="1"/>
      <protection hidden="1"/>
    </xf>
    <xf numFmtId="0" fontId="32" fillId="2" borderId="5" xfId="0" applyFont="1" applyFill="1" applyBorder="1" applyAlignment="1" applyProtection="1">
      <alignment horizontal="left" vertical="center" wrapText="1"/>
      <protection hidden="1"/>
    </xf>
    <xf numFmtId="0" fontId="32" fillId="2" borderId="5" xfId="0" applyFont="1" applyFill="1" applyBorder="1" applyAlignment="1" applyProtection="1">
      <alignment horizontal="center" vertical="center" wrapText="1"/>
      <protection hidden="1"/>
    </xf>
    <xf numFmtId="0" fontId="31" fillId="0" borderId="5" xfId="0" applyFont="1" applyBorder="1" applyAlignment="1" applyProtection="1">
      <alignment horizontal="center" vertical="center" wrapText="1"/>
      <protection hidden="1"/>
    </xf>
    <xf numFmtId="4" fontId="38" fillId="7" borderId="0" xfId="0" applyNumberFormat="1" applyFont="1" applyFill="1" applyBorder="1" applyAlignment="1" applyProtection="1">
      <alignment horizontal="center" vertical="center" wrapText="1"/>
      <protection hidden="1"/>
    </xf>
    <xf numFmtId="4" fontId="38" fillId="7" borderId="9" xfId="0" applyNumberFormat="1" applyFont="1" applyFill="1" applyBorder="1" applyAlignment="1" applyProtection="1">
      <alignment horizontal="center" vertical="center" wrapText="1"/>
      <protection hidden="1"/>
    </xf>
    <xf numFmtId="4" fontId="38" fillId="8" borderId="0" xfId="0" applyNumberFormat="1" applyFont="1" applyFill="1" applyBorder="1" applyAlignment="1" applyProtection="1">
      <alignment horizontal="center" vertical="center"/>
      <protection hidden="1"/>
    </xf>
    <xf numFmtId="4" fontId="38" fillId="8" borderId="9" xfId="0" applyNumberFormat="1" applyFont="1" applyFill="1" applyBorder="1" applyAlignment="1" applyProtection="1">
      <alignment horizontal="center" vertical="center"/>
      <protection hidden="1"/>
    </xf>
    <xf numFmtId="4" fontId="43" fillId="8" borderId="0" xfId="0" applyNumberFormat="1" applyFont="1" applyFill="1" applyBorder="1" applyAlignment="1" applyProtection="1">
      <alignment horizontal="center" vertical="center"/>
      <protection hidden="1"/>
    </xf>
    <xf numFmtId="4" fontId="43" fillId="8" borderId="9" xfId="0" applyNumberFormat="1" applyFont="1" applyFill="1" applyBorder="1" applyAlignment="1" applyProtection="1">
      <alignment horizontal="center" vertical="center"/>
      <protection hidden="1"/>
    </xf>
    <xf numFmtId="0" fontId="29" fillId="0" borderId="6" xfId="0" applyFont="1" applyFill="1" applyBorder="1" applyAlignment="1" applyProtection="1">
      <alignment horizontal="left" vertical="center" wrapText="1"/>
      <protection hidden="1"/>
    </xf>
    <xf numFmtId="0" fontId="29" fillId="0" borderId="8" xfId="0" applyFont="1" applyFill="1" applyBorder="1" applyAlignment="1" applyProtection="1">
      <alignment horizontal="left" vertical="center" wrapText="1"/>
      <protection hidden="1"/>
    </xf>
    <xf numFmtId="0" fontId="29" fillId="0" borderId="7" xfId="0" applyFont="1" applyFill="1" applyBorder="1" applyAlignment="1" applyProtection="1">
      <alignment horizontal="left" vertical="center" wrapText="1"/>
      <protection hidden="1"/>
    </xf>
    <xf numFmtId="0" fontId="29" fillId="0" borderId="6" xfId="0" applyFont="1" applyFill="1" applyBorder="1" applyAlignment="1" applyProtection="1">
      <alignment horizontal="center" vertical="center" wrapText="1"/>
      <protection hidden="1"/>
    </xf>
    <xf numFmtId="0" fontId="29" fillId="0" borderId="8" xfId="0" applyFont="1" applyFill="1" applyBorder="1" applyAlignment="1" applyProtection="1">
      <alignment horizontal="center" vertical="center" wrapText="1"/>
      <protection hidden="1"/>
    </xf>
    <xf numFmtId="0" fontId="29" fillId="0" borderId="7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31" fillId="0" borderId="5" xfId="0" applyFont="1" applyBorder="1" applyAlignment="1" applyProtection="1">
      <alignment horizontal="left" vertical="center" wrapText="1"/>
      <protection hidden="1"/>
    </xf>
    <xf numFmtId="169" fontId="31" fillId="9" borderId="5" xfId="3" applyNumberFormat="1" applyFont="1" applyFill="1" applyBorder="1" applyAlignment="1" applyProtection="1">
      <alignment horizontal="center" vertical="center"/>
      <protection locked="0" hidden="1"/>
    </xf>
    <xf numFmtId="4" fontId="38" fillId="8" borderId="16" xfId="0" applyNumberFormat="1" applyFont="1" applyFill="1" applyBorder="1" applyAlignment="1" applyProtection="1">
      <alignment horizontal="center" vertical="center"/>
      <protection hidden="1"/>
    </xf>
    <xf numFmtId="4" fontId="43" fillId="8" borderId="18" xfId="0" applyNumberFormat="1" applyFont="1" applyFill="1" applyBorder="1" applyAlignment="1" applyProtection="1">
      <alignment horizontal="center" vertical="center"/>
      <protection hidden="1"/>
    </xf>
    <xf numFmtId="4" fontId="43" fillId="8" borderId="19" xfId="0" applyNumberFormat="1" applyFont="1" applyFill="1" applyBorder="1" applyAlignment="1" applyProtection="1">
      <alignment horizontal="center" vertical="center"/>
      <protection hidden="1"/>
    </xf>
    <xf numFmtId="4" fontId="43" fillId="8" borderId="20" xfId="0" applyNumberFormat="1" applyFont="1" applyFill="1" applyBorder="1" applyAlignment="1" applyProtection="1">
      <alignment horizontal="center" vertical="center"/>
      <protection hidden="1"/>
    </xf>
    <xf numFmtId="4" fontId="38" fillId="7" borderId="12" xfId="0" applyNumberFormat="1" applyFont="1" applyFill="1" applyBorder="1" applyAlignment="1" applyProtection="1">
      <alignment horizontal="center" vertical="center"/>
      <protection hidden="1"/>
    </xf>
    <xf numFmtId="4" fontId="38" fillId="7" borderId="11" xfId="0" applyNumberFormat="1" applyFont="1" applyFill="1" applyBorder="1" applyAlignment="1" applyProtection="1">
      <alignment horizontal="center" vertical="center"/>
      <protection hidden="1"/>
    </xf>
    <xf numFmtId="4" fontId="38" fillId="7" borderId="13" xfId="0" applyNumberFormat="1" applyFont="1" applyFill="1" applyBorder="1" applyAlignment="1" applyProtection="1">
      <alignment horizontal="center" vertical="center"/>
      <protection hidden="1"/>
    </xf>
    <xf numFmtId="0" fontId="30" fillId="2" borderId="5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29" fillId="0" borderId="5" xfId="0" applyFont="1" applyFill="1" applyBorder="1" applyAlignment="1" applyProtection="1">
      <alignment horizontal="center" vertical="center" wrapText="1"/>
      <protection locked="0" hidden="1"/>
    </xf>
    <xf numFmtId="164" fontId="29" fillId="9" borderId="6" xfId="3" applyNumberFormat="1" applyFont="1" applyFill="1" applyBorder="1" applyAlignment="1" applyProtection="1">
      <alignment horizontal="center" vertical="center"/>
      <protection locked="0" hidden="1"/>
    </xf>
    <xf numFmtId="164" fontId="29" fillId="9" borderId="8" xfId="3" applyNumberFormat="1" applyFont="1" applyFill="1" applyBorder="1" applyAlignment="1" applyProtection="1">
      <alignment horizontal="center" vertical="center"/>
      <protection locked="0" hidden="1"/>
    </xf>
    <xf numFmtId="164" fontId="29" fillId="9" borderId="31" xfId="3" applyNumberFormat="1" applyFont="1" applyFill="1" applyBorder="1" applyAlignment="1" applyProtection="1">
      <alignment horizontal="center" vertical="center"/>
      <protection locked="0" hidden="1"/>
    </xf>
    <xf numFmtId="164" fontId="29" fillId="9" borderId="5" xfId="3" applyNumberFormat="1" applyFont="1" applyFill="1" applyBorder="1" applyAlignment="1" applyProtection="1">
      <alignment horizontal="center" vertical="center"/>
      <protection locked="0" hidden="1"/>
    </xf>
    <xf numFmtId="168" fontId="29" fillId="9" borderId="5" xfId="3" applyNumberFormat="1" applyFont="1" applyFill="1" applyBorder="1" applyAlignment="1" applyProtection="1">
      <alignment horizontal="center" vertical="center"/>
      <protection locked="0" hidden="1"/>
    </xf>
    <xf numFmtId="167" fontId="29" fillId="9" borderId="5" xfId="3" applyNumberFormat="1" applyFont="1" applyFill="1" applyBorder="1" applyAlignment="1" applyProtection="1">
      <alignment horizontal="center" vertical="center"/>
      <protection locked="0" hidden="1"/>
    </xf>
    <xf numFmtId="167" fontId="31" fillId="9" borderId="5" xfId="3" applyNumberFormat="1" applyFont="1" applyFill="1" applyBorder="1" applyAlignment="1" applyProtection="1">
      <alignment horizontal="center" vertical="center"/>
      <protection locked="0" hidden="1"/>
    </xf>
    <xf numFmtId="0" fontId="29" fillId="9" borderId="5" xfId="0" applyFont="1" applyFill="1" applyBorder="1" applyAlignment="1" applyProtection="1">
      <alignment vertical="center" wrapText="1"/>
      <protection locked="0" hidden="1"/>
    </xf>
    <xf numFmtId="169" fontId="31" fillId="9" borderId="6" xfId="3" applyNumberFormat="1" applyFont="1" applyFill="1" applyBorder="1" applyAlignment="1" applyProtection="1">
      <alignment horizontal="center" vertical="center"/>
      <protection locked="0" hidden="1"/>
    </xf>
    <xf numFmtId="169" fontId="31" fillId="9" borderId="8" xfId="3" applyNumberFormat="1" applyFont="1" applyFill="1" applyBorder="1" applyAlignment="1" applyProtection="1">
      <alignment horizontal="center" vertical="center"/>
      <protection locked="0" hidden="1"/>
    </xf>
    <xf numFmtId="169" fontId="31" fillId="9" borderId="7" xfId="3" applyNumberFormat="1" applyFont="1" applyFill="1" applyBorder="1" applyAlignment="1" applyProtection="1">
      <alignment horizontal="center" vertical="center"/>
      <protection locked="0" hidden="1"/>
    </xf>
  </cellXfs>
  <cellStyles count="11">
    <cellStyle name="Čiarka" xfId="3" builtinId="3"/>
    <cellStyle name="Čiarka 2" xfId="2"/>
    <cellStyle name="Čiarka 2 2" xfId="6"/>
    <cellStyle name="Čiarka 2 3" xfId="8"/>
    <cellStyle name="Hypertextové prepojenie" xfId="10" builtinId="8"/>
    <cellStyle name="Normal 2 2" xfId="9"/>
    <cellStyle name="Normálna" xfId="0" builtinId="0"/>
    <cellStyle name="Normálna 2" xfId="1"/>
    <cellStyle name="Normálna 2 2" xfId="5"/>
    <cellStyle name="Normálna 2 3" xfId="7"/>
    <cellStyle name="Normálna 4" xfId="4"/>
  </cellStyles>
  <dxfs count="0"/>
  <tableStyles count="0" defaultTableStyle="TableStyleMedium2" defaultPivotStyle="PivotStyleLight16"/>
  <colors>
    <mruColors>
      <color rgb="FFA10D2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workbookViewId="0"/>
  </sheetViews>
  <sheetFormatPr defaultColWidth="8.85546875" defaultRowHeight="15" x14ac:dyDescent="0.25"/>
  <cols>
    <col min="2" max="2" width="17.42578125" customWidth="1"/>
    <col min="3" max="3" width="17.5703125" customWidth="1"/>
    <col min="4" max="4" width="17.42578125" customWidth="1"/>
    <col min="5" max="5" width="18.5703125" customWidth="1"/>
    <col min="6" max="6" width="17.42578125" customWidth="1"/>
    <col min="7" max="7" width="18.42578125" customWidth="1"/>
    <col min="8" max="8" width="51.42578125" customWidth="1"/>
    <col min="10" max="10" width="17.42578125" customWidth="1"/>
    <col min="11" max="11" width="12.5703125" customWidth="1"/>
  </cols>
  <sheetData>
    <row r="1" spans="1:8" ht="44.45" customHeight="1" thickBot="1" x14ac:dyDescent="0.35">
      <c r="B1" s="177" t="s">
        <v>0</v>
      </c>
      <c r="C1" s="178"/>
      <c r="D1" s="178"/>
      <c r="E1" s="178"/>
      <c r="F1" s="179"/>
      <c r="H1" s="10"/>
    </row>
    <row r="2" spans="1:8" ht="24.95" customHeight="1" x14ac:dyDescent="0.25"/>
    <row r="3" spans="1:8" ht="18.75" x14ac:dyDescent="0.3">
      <c r="A3" s="11" t="s">
        <v>1</v>
      </c>
      <c r="B3" s="11"/>
      <c r="C3" s="11"/>
    </row>
    <row r="4" spans="1:8" x14ac:dyDescent="0.25">
      <c r="B4" s="1"/>
    </row>
    <row r="5" spans="1:8" ht="15.75" thickBot="1" x14ac:dyDescent="0.3">
      <c r="B5" s="31" t="s">
        <v>2</v>
      </c>
      <c r="D5" t="s">
        <v>3</v>
      </c>
      <c r="F5" t="s">
        <v>4</v>
      </c>
    </row>
    <row r="6" spans="1:8" ht="15" customHeight="1" thickBot="1" x14ac:dyDescent="0.3">
      <c r="B6" s="26"/>
      <c r="D6" s="26"/>
      <c r="F6" s="26"/>
    </row>
    <row r="7" spans="1:8" ht="15" customHeight="1" x14ac:dyDescent="0.25"/>
    <row r="8" spans="1:8" ht="15" customHeight="1" thickBot="1" x14ac:dyDescent="0.3">
      <c r="B8" t="s">
        <v>5</v>
      </c>
    </row>
    <row r="9" spans="1:8" ht="15" customHeight="1" thickBot="1" x14ac:dyDescent="0.3">
      <c r="B9" s="185"/>
      <c r="C9" s="186"/>
      <c r="D9" s="186"/>
      <c r="E9" s="186"/>
      <c r="F9" s="187"/>
    </row>
    <row r="10" spans="1:8" ht="15" customHeight="1" x14ac:dyDescent="0.25"/>
    <row r="11" spans="1:8" ht="15.75" thickBot="1" x14ac:dyDescent="0.3">
      <c r="B11" t="s">
        <v>6</v>
      </c>
    </row>
    <row r="12" spans="1:8" ht="15.75" thickBot="1" x14ac:dyDescent="0.3">
      <c r="B12" s="185"/>
      <c r="C12" s="186"/>
      <c r="D12" s="186"/>
      <c r="E12" s="186"/>
      <c r="F12" s="187"/>
    </row>
    <row r="13" spans="1:8" ht="15" customHeight="1" x14ac:dyDescent="0.25"/>
    <row r="14" spans="1:8" x14ac:dyDescent="0.25">
      <c r="B14" t="s">
        <v>7</v>
      </c>
    </row>
    <row r="15" spans="1:8" ht="15.75" thickBot="1" x14ac:dyDescent="0.3">
      <c r="B15" t="s">
        <v>8</v>
      </c>
      <c r="D15" t="s">
        <v>9</v>
      </c>
      <c r="F15" t="s">
        <v>10</v>
      </c>
    </row>
    <row r="16" spans="1:8" ht="15.75" thickBot="1" x14ac:dyDescent="0.3">
      <c r="B16" s="26"/>
      <c r="D16" s="26"/>
      <c r="F16" s="26"/>
    </row>
    <row r="17" spans="2:6" ht="7.5" customHeight="1" x14ac:dyDescent="0.25"/>
    <row r="18" spans="2:6" ht="15.75" thickBot="1" x14ac:dyDescent="0.3">
      <c r="B18" t="s">
        <v>11</v>
      </c>
      <c r="D18" t="s">
        <v>12</v>
      </c>
      <c r="F18" t="s">
        <v>13</v>
      </c>
    </row>
    <row r="19" spans="2:6" ht="15.75" thickBot="1" x14ac:dyDescent="0.3">
      <c r="B19" s="26"/>
      <c r="D19" s="27"/>
      <c r="F19" s="27"/>
    </row>
    <row r="20" spans="2:6" ht="15" customHeight="1" x14ac:dyDescent="0.25"/>
    <row r="21" spans="2:6" x14ac:dyDescent="0.25">
      <c r="B21" t="s">
        <v>14</v>
      </c>
      <c r="E21" s="12"/>
    </row>
    <row r="22" spans="2:6" ht="15.75" thickBot="1" x14ac:dyDescent="0.3">
      <c r="B22" t="s">
        <v>15</v>
      </c>
      <c r="D22" t="s">
        <v>16</v>
      </c>
      <c r="F22" t="s">
        <v>17</v>
      </c>
    </row>
    <row r="23" spans="2:6" ht="15.75" thickBot="1" x14ac:dyDescent="0.3">
      <c r="B23" s="26"/>
      <c r="D23" s="26"/>
      <c r="F23" s="27"/>
    </row>
    <row r="24" spans="2:6" ht="15.75" thickBot="1" x14ac:dyDescent="0.3">
      <c r="B24" s="26"/>
      <c r="D24" s="26"/>
      <c r="F24" s="27"/>
    </row>
    <row r="25" spans="2:6" x14ac:dyDescent="0.25">
      <c r="F25" s="13"/>
    </row>
    <row r="26" spans="2:6" x14ac:dyDescent="0.25">
      <c r="B26" t="s">
        <v>18</v>
      </c>
      <c r="F26" s="13"/>
    </row>
    <row r="27" spans="2:6" ht="15.75" thickBot="1" x14ac:dyDescent="0.3">
      <c r="B27" t="s">
        <v>15</v>
      </c>
      <c r="D27" t="s">
        <v>16</v>
      </c>
      <c r="F27" s="13"/>
    </row>
    <row r="28" spans="2:6" ht="15.75" thickBot="1" x14ac:dyDescent="0.3">
      <c r="B28" s="26"/>
      <c r="D28" s="26"/>
      <c r="F28" s="13"/>
    </row>
    <row r="29" spans="2:6" ht="15.75" thickBot="1" x14ac:dyDescent="0.3">
      <c r="B29" s="31" t="s">
        <v>19</v>
      </c>
      <c r="F29" s="13"/>
    </row>
    <row r="30" spans="2:6" ht="15.75" thickBot="1" x14ac:dyDescent="0.3">
      <c r="B30" s="28"/>
      <c r="F30" s="13"/>
    </row>
    <row r="31" spans="2:6" x14ac:dyDescent="0.25">
      <c r="F31" s="13"/>
    </row>
    <row r="32" spans="2:6" ht="15.75" thickBot="1" x14ac:dyDescent="0.3">
      <c r="B32" t="s">
        <v>20</v>
      </c>
    </row>
    <row r="33" spans="1:8" ht="15.75" thickBot="1" x14ac:dyDescent="0.3">
      <c r="B33" s="185"/>
      <c r="C33" s="186"/>
      <c r="D33" s="186"/>
      <c r="E33" s="186"/>
      <c r="F33" s="187"/>
    </row>
    <row r="36" spans="1:8" ht="18.75" x14ac:dyDescent="0.3">
      <c r="A36" s="184" t="s">
        <v>21</v>
      </c>
      <c r="B36" s="184"/>
      <c r="C36" s="184"/>
      <c r="D36" s="184"/>
      <c r="E36" s="184"/>
      <c r="F36" s="184"/>
      <c r="G36" s="10"/>
      <c r="H36" s="14"/>
    </row>
    <row r="38" spans="1:8" ht="15.75" thickBot="1" x14ac:dyDescent="0.3">
      <c r="B38" s="1" t="s">
        <v>22</v>
      </c>
    </row>
    <row r="39" spans="1:8" ht="15.75" thickBot="1" x14ac:dyDescent="0.3">
      <c r="B39" s="188"/>
      <c r="C39" s="189"/>
      <c r="D39" s="189"/>
      <c r="E39" s="189"/>
      <c r="F39" s="190"/>
    </row>
    <row r="41" spans="1:8" ht="15.75" thickBot="1" x14ac:dyDescent="0.3">
      <c r="B41" s="15" t="s">
        <v>23</v>
      </c>
      <c r="C41" s="2"/>
      <c r="D41" s="2"/>
      <c r="E41" s="2"/>
      <c r="F41" s="2"/>
    </row>
    <row r="42" spans="1:8" ht="15.75" thickBot="1" x14ac:dyDescent="0.3">
      <c r="B42" s="191"/>
      <c r="C42" s="192"/>
      <c r="D42" s="192"/>
      <c r="E42" s="192"/>
      <c r="F42" s="193"/>
    </row>
    <row r="43" spans="1:8" x14ac:dyDescent="0.25">
      <c r="B43" s="2"/>
      <c r="C43" s="2"/>
      <c r="D43" s="2"/>
      <c r="E43" s="2"/>
      <c r="F43" s="2"/>
    </row>
    <row r="44" spans="1:8" x14ac:dyDescent="0.25">
      <c r="B44" s="2"/>
      <c r="C44" s="2"/>
      <c r="D44" s="2"/>
      <c r="E44" s="2"/>
      <c r="F44" s="2"/>
    </row>
    <row r="45" spans="1:8" ht="18.75" x14ac:dyDescent="0.3">
      <c r="A45" s="11" t="s">
        <v>24</v>
      </c>
      <c r="B45" s="11"/>
      <c r="C45" s="11"/>
      <c r="D45" s="11"/>
      <c r="E45" s="2"/>
      <c r="F45" s="2"/>
    </row>
    <row r="46" spans="1:8" x14ac:dyDescent="0.25">
      <c r="B46" s="2"/>
      <c r="C46" s="2"/>
      <c r="D46" s="2"/>
      <c r="E46" s="2"/>
      <c r="F46" s="2"/>
    </row>
    <row r="47" spans="1:8" ht="15.75" thickBot="1" x14ac:dyDescent="0.3">
      <c r="B47" s="1" t="s">
        <v>22</v>
      </c>
    </row>
    <row r="48" spans="1:8" ht="15.75" thickBot="1" x14ac:dyDescent="0.3">
      <c r="B48" s="188"/>
      <c r="C48" s="189"/>
      <c r="D48" s="189"/>
      <c r="E48" s="189"/>
      <c r="F48" s="190"/>
    </row>
    <row r="50" spans="1:12" ht="15.75" thickBot="1" x14ac:dyDescent="0.3">
      <c r="B50" s="15" t="s">
        <v>23</v>
      </c>
      <c r="C50" s="2"/>
      <c r="D50" s="2"/>
      <c r="E50" s="2"/>
      <c r="F50" s="2"/>
    </row>
    <row r="51" spans="1:12" ht="15.75" thickBot="1" x14ac:dyDescent="0.3">
      <c r="B51" s="191"/>
      <c r="C51" s="192"/>
      <c r="D51" s="192"/>
      <c r="E51" s="192"/>
      <c r="F51" s="193"/>
    </row>
    <row r="52" spans="1:12" x14ac:dyDescent="0.25">
      <c r="B52" s="2"/>
      <c r="C52" s="2"/>
      <c r="D52" s="2"/>
      <c r="E52" s="2"/>
      <c r="F52" s="2"/>
    </row>
    <row r="53" spans="1:12" ht="18.75" x14ac:dyDescent="0.3">
      <c r="A53" s="184" t="s">
        <v>25</v>
      </c>
      <c r="B53" s="184"/>
      <c r="C53" s="184"/>
      <c r="D53" s="184"/>
      <c r="E53" s="184"/>
      <c r="F53" s="184"/>
    </row>
    <row r="54" spans="1:12" ht="15.75" x14ac:dyDescent="0.25">
      <c r="B54" s="16"/>
      <c r="C54" s="16"/>
      <c r="D54" s="16"/>
      <c r="E54" s="16"/>
      <c r="F54" s="17"/>
      <c r="G54" s="18"/>
      <c r="H54" s="18"/>
      <c r="I54" s="18"/>
    </row>
    <row r="55" spans="1:12" ht="15.75" thickBot="1" x14ac:dyDescent="0.3">
      <c r="B55" s="2" t="s">
        <v>26</v>
      </c>
      <c r="C55" s="2"/>
      <c r="D55" s="2" t="s">
        <v>27</v>
      </c>
      <c r="E55" s="2"/>
      <c r="F55" s="19"/>
    </row>
    <row r="56" spans="1:12" ht="15.75" thickBot="1" x14ac:dyDescent="0.3">
      <c r="B56" s="29"/>
      <c r="C56" s="2"/>
      <c r="D56" s="29"/>
      <c r="E56" s="2"/>
      <c r="F56" s="19"/>
    </row>
    <row r="57" spans="1:12" x14ac:dyDescent="0.25">
      <c r="B57" s="20" t="s">
        <v>28</v>
      </c>
      <c r="C57" s="2"/>
      <c r="D57" s="2"/>
      <c r="E57" s="2"/>
      <c r="F57" s="19"/>
    </row>
    <row r="58" spans="1:12" ht="15.75" thickBot="1" x14ac:dyDescent="0.3">
      <c r="B58" s="2" t="s">
        <v>29</v>
      </c>
      <c r="C58" s="2"/>
      <c r="D58" s="2" t="s">
        <v>30</v>
      </c>
      <c r="E58" s="2"/>
      <c r="F58" s="19"/>
    </row>
    <row r="59" spans="1:12" ht="15.75" thickBot="1" x14ac:dyDescent="0.3">
      <c r="B59" s="29"/>
      <c r="C59" s="2"/>
      <c r="D59" s="29"/>
      <c r="E59" s="2"/>
      <c r="F59" s="2"/>
    </row>
    <row r="60" spans="1:12" x14ac:dyDescent="0.25">
      <c r="B60" s="2"/>
      <c r="C60" s="2"/>
      <c r="D60" s="2"/>
      <c r="E60" s="2"/>
      <c r="F60" s="2"/>
    </row>
    <row r="61" spans="1:12" ht="15.75" thickBot="1" x14ac:dyDescent="0.3">
      <c r="B61" s="2" t="s">
        <v>31</v>
      </c>
      <c r="C61" s="2"/>
      <c r="D61" s="2" t="s">
        <v>32</v>
      </c>
      <c r="E61" s="2"/>
      <c r="F61" s="2"/>
    </row>
    <row r="62" spans="1:12" ht="15.75" thickBot="1" x14ac:dyDescent="0.3">
      <c r="B62" s="29"/>
      <c r="C62" s="2"/>
      <c r="D62" s="29"/>
      <c r="E62" s="2"/>
      <c r="F62" s="2"/>
    </row>
    <row r="63" spans="1:12" x14ac:dyDescent="0.25">
      <c r="B63" s="2"/>
      <c r="C63" s="2"/>
      <c r="D63" s="2"/>
      <c r="E63" s="2"/>
      <c r="F63" s="2"/>
    </row>
    <row r="64" spans="1:12" ht="15.75" thickBot="1" x14ac:dyDescent="0.3">
      <c r="B64" s="2" t="s">
        <v>33</v>
      </c>
      <c r="C64" s="2"/>
      <c r="D64" s="2" t="s">
        <v>34</v>
      </c>
      <c r="E64" s="2"/>
      <c r="F64" s="19"/>
      <c r="L64" s="30"/>
    </row>
    <row r="65" spans="2:12" ht="15.75" thickBot="1" x14ac:dyDescent="0.3">
      <c r="B65" s="29"/>
      <c r="C65" s="2"/>
      <c r="D65" s="29"/>
      <c r="E65" s="2"/>
      <c r="F65" s="19"/>
      <c r="L65" s="30"/>
    </row>
    <row r="66" spans="2:12" x14ac:dyDescent="0.25">
      <c r="B66" s="20"/>
      <c r="C66" s="2"/>
      <c r="D66" s="2"/>
      <c r="E66" s="2"/>
      <c r="F66" s="19"/>
      <c r="L66" s="30"/>
    </row>
    <row r="67" spans="2:12" ht="15.75" thickBot="1" x14ac:dyDescent="0.3">
      <c r="B67" s="2" t="s">
        <v>35</v>
      </c>
      <c r="C67" s="2"/>
      <c r="D67" s="2" t="s">
        <v>36</v>
      </c>
      <c r="E67" s="2"/>
      <c r="F67" s="19"/>
      <c r="L67" s="30"/>
    </row>
    <row r="68" spans="2:12" ht="15.75" thickBot="1" x14ac:dyDescent="0.3">
      <c r="B68" s="29"/>
      <c r="C68" s="2"/>
      <c r="D68" s="29"/>
      <c r="E68" s="2"/>
      <c r="F68" s="19"/>
      <c r="L68" s="30"/>
    </row>
    <row r="69" spans="2:12" x14ac:dyDescent="0.25">
      <c r="B69" s="20"/>
      <c r="C69" s="2"/>
      <c r="D69" s="2"/>
      <c r="E69" s="2"/>
      <c r="F69" s="19"/>
      <c r="L69" s="30"/>
    </row>
    <row r="70" spans="2:12" ht="15.75" thickBot="1" x14ac:dyDescent="0.3">
      <c r="B70" s="2" t="s">
        <v>37</v>
      </c>
      <c r="C70" s="2"/>
      <c r="D70" s="2" t="s">
        <v>38</v>
      </c>
      <c r="E70" s="2"/>
      <c r="F70" s="19"/>
      <c r="L70" s="30"/>
    </row>
    <row r="71" spans="2:12" ht="15.75" thickBot="1" x14ac:dyDescent="0.3">
      <c r="B71" s="29"/>
      <c r="C71" s="2"/>
      <c r="D71" s="29"/>
      <c r="E71" s="2"/>
      <c r="F71" s="19"/>
      <c r="L71" s="30"/>
    </row>
    <row r="72" spans="2:12" x14ac:dyDescent="0.25">
      <c r="B72" s="20"/>
      <c r="C72" s="2"/>
      <c r="D72" s="2"/>
      <c r="E72" s="2"/>
      <c r="F72" s="19"/>
      <c r="L72" s="30"/>
    </row>
    <row r="73" spans="2:12" ht="15.75" thickBot="1" x14ac:dyDescent="0.3">
      <c r="B73" s="2" t="s">
        <v>39</v>
      </c>
      <c r="C73" s="2"/>
      <c r="D73" s="2" t="s">
        <v>40</v>
      </c>
      <c r="E73" s="2"/>
      <c r="F73" s="19"/>
      <c r="L73" s="30"/>
    </row>
    <row r="74" spans="2:12" ht="15.75" thickBot="1" x14ac:dyDescent="0.3">
      <c r="B74" s="29"/>
      <c r="C74" s="2"/>
      <c r="D74" s="29"/>
      <c r="E74" s="2"/>
      <c r="F74" s="19"/>
      <c r="L74" s="30"/>
    </row>
    <row r="75" spans="2:12" x14ac:dyDescent="0.25">
      <c r="B75" s="20"/>
      <c r="C75" s="2"/>
      <c r="D75" s="2"/>
      <c r="E75" s="2"/>
      <c r="F75" s="19"/>
      <c r="L75" s="30"/>
    </row>
    <row r="76" spans="2:12" ht="15.75" thickBot="1" x14ac:dyDescent="0.3">
      <c r="B76" s="2" t="s">
        <v>41</v>
      </c>
      <c r="C76" s="2"/>
      <c r="D76" s="2" t="s">
        <v>42</v>
      </c>
      <c r="E76" s="2"/>
      <c r="F76" s="19"/>
      <c r="L76" s="30"/>
    </row>
    <row r="77" spans="2:12" ht="15.75" thickBot="1" x14ac:dyDescent="0.3">
      <c r="B77" s="29"/>
      <c r="C77" s="2"/>
      <c r="D77" s="29"/>
      <c r="E77" s="2"/>
      <c r="F77" s="19"/>
      <c r="L77" s="30"/>
    </row>
    <row r="78" spans="2:12" x14ac:dyDescent="0.25">
      <c r="B78" s="20"/>
      <c r="C78" s="2"/>
      <c r="D78" s="2"/>
      <c r="E78" s="2"/>
      <c r="F78" s="19"/>
      <c r="L78" s="30"/>
    </row>
    <row r="79" spans="2:12" ht="15.75" thickBot="1" x14ac:dyDescent="0.3">
      <c r="B79" s="2" t="s">
        <v>43</v>
      </c>
      <c r="C79" s="2"/>
      <c r="D79" s="2" t="s">
        <v>44</v>
      </c>
      <c r="E79" s="2"/>
      <c r="F79" s="19"/>
      <c r="L79" s="30"/>
    </row>
    <row r="80" spans="2:12" ht="15.75" thickBot="1" x14ac:dyDescent="0.3">
      <c r="B80" s="29"/>
      <c r="C80" s="2"/>
      <c r="D80" s="29"/>
      <c r="E80" s="2"/>
      <c r="F80" s="19"/>
      <c r="L80" s="30"/>
    </row>
    <row r="81" spans="2:12" x14ac:dyDescent="0.25">
      <c r="B81" s="20"/>
      <c r="C81" s="2"/>
      <c r="D81" s="2"/>
      <c r="E81" s="2"/>
      <c r="F81" s="19"/>
      <c r="L81" s="30"/>
    </row>
    <row r="82" spans="2:12" ht="15.75" thickBot="1" x14ac:dyDescent="0.3">
      <c r="B82" s="2" t="s">
        <v>45</v>
      </c>
      <c r="C82" s="2"/>
      <c r="D82" s="2" t="s">
        <v>46</v>
      </c>
      <c r="E82" s="2"/>
      <c r="F82" s="19"/>
      <c r="L82" s="30"/>
    </row>
    <row r="83" spans="2:12" ht="15.75" thickBot="1" x14ac:dyDescent="0.3">
      <c r="B83" s="29"/>
      <c r="C83" s="2"/>
      <c r="D83" s="29"/>
      <c r="E83" s="2"/>
      <c r="F83" s="19"/>
      <c r="L83" s="30"/>
    </row>
    <row r="84" spans="2:12" x14ac:dyDescent="0.25">
      <c r="B84" s="2"/>
      <c r="C84" s="2"/>
      <c r="D84" s="2"/>
      <c r="E84" s="2"/>
      <c r="F84" s="2"/>
    </row>
    <row r="85" spans="2:12" ht="14.45" customHeight="1" x14ac:dyDescent="0.25">
      <c r="B85" s="180" t="s">
        <v>47</v>
      </c>
      <c r="C85" s="180"/>
      <c r="D85" s="180"/>
      <c r="E85" s="180"/>
      <c r="F85" s="180"/>
    </row>
    <row r="86" spans="2:12" ht="7.5" customHeight="1" x14ac:dyDescent="0.25">
      <c r="B86" s="2"/>
      <c r="C86" s="2"/>
      <c r="D86" s="2"/>
      <c r="E86" s="2"/>
      <c r="F86" s="2"/>
    </row>
    <row r="87" spans="2:12" ht="47.45" customHeight="1" x14ac:dyDescent="0.25">
      <c r="B87" s="183" t="s">
        <v>48</v>
      </c>
      <c r="C87" s="182"/>
      <c r="D87" s="182"/>
      <c r="E87" s="182"/>
      <c r="F87" s="182"/>
      <c r="G87" s="3" t="s">
        <v>49</v>
      </c>
      <c r="H87" s="21"/>
    </row>
    <row r="88" spans="2:12" ht="7.5" customHeight="1" x14ac:dyDescent="0.25">
      <c r="B88" s="22"/>
      <c r="C88" s="23"/>
      <c r="D88" s="23"/>
      <c r="E88" s="23"/>
      <c r="F88" s="23"/>
    </row>
    <row r="89" spans="2:12" ht="75.599999999999994" customHeight="1" x14ac:dyDescent="0.25">
      <c r="B89" s="181" t="s">
        <v>50</v>
      </c>
      <c r="C89" s="182"/>
      <c r="D89" s="182"/>
      <c r="E89" s="182"/>
      <c r="F89" s="182"/>
      <c r="G89" s="3" t="s">
        <v>49</v>
      </c>
      <c r="H89" s="21"/>
    </row>
    <row r="90" spans="2:12" ht="7.5" customHeight="1" x14ac:dyDescent="0.25">
      <c r="B90" s="22"/>
      <c r="C90" s="22"/>
      <c r="D90" s="22"/>
      <c r="E90" s="22"/>
      <c r="F90" s="22"/>
    </row>
    <row r="91" spans="2:12" ht="45.95" customHeight="1" x14ac:dyDescent="0.25">
      <c r="B91" s="181" t="s">
        <v>51</v>
      </c>
      <c r="C91" s="182"/>
      <c r="D91" s="182"/>
      <c r="E91" s="182"/>
      <c r="F91" s="182"/>
      <c r="G91" s="3" t="s">
        <v>49</v>
      </c>
      <c r="H91" s="21"/>
    </row>
    <row r="92" spans="2:12" ht="8.25" customHeight="1" x14ac:dyDescent="0.25">
      <c r="B92" s="24"/>
      <c r="C92" s="24"/>
      <c r="D92" s="24"/>
      <c r="E92" s="24"/>
      <c r="F92" s="24"/>
    </row>
    <row r="93" spans="2:12" ht="46.5" customHeight="1" x14ac:dyDescent="0.25">
      <c r="B93" s="181" t="s">
        <v>52</v>
      </c>
      <c r="C93" s="182"/>
      <c r="D93" s="182"/>
      <c r="E93" s="182"/>
      <c r="F93" s="182"/>
      <c r="G93" s="3" t="s">
        <v>49</v>
      </c>
      <c r="H93" s="12"/>
    </row>
    <row r="94" spans="2:12" ht="7.5" customHeight="1" x14ac:dyDescent="0.25">
      <c r="B94" s="24"/>
      <c r="C94" s="25"/>
      <c r="D94" s="25"/>
      <c r="E94" s="25"/>
      <c r="F94" s="25"/>
    </row>
    <row r="95" spans="2:12" ht="44.25" customHeight="1" x14ac:dyDescent="0.25">
      <c r="B95" s="181" t="s">
        <v>53</v>
      </c>
      <c r="C95" s="182"/>
      <c r="D95" s="182"/>
      <c r="E95" s="182"/>
      <c r="F95" s="182"/>
      <c r="G95" s="3" t="s">
        <v>49</v>
      </c>
      <c r="H95" s="21"/>
    </row>
    <row r="96" spans="2:12" ht="7.5" customHeight="1" x14ac:dyDescent="0.25">
      <c r="B96" s="2"/>
      <c r="C96" s="2"/>
      <c r="D96" s="2"/>
      <c r="E96" s="2"/>
      <c r="F96" s="2"/>
    </row>
    <row r="97" spans="2:7" ht="53.25" customHeight="1" x14ac:dyDescent="0.25">
      <c r="B97" s="181" t="s">
        <v>54</v>
      </c>
      <c r="C97" s="182"/>
      <c r="D97" s="182"/>
      <c r="E97" s="182"/>
      <c r="F97" s="182"/>
      <c r="G97" s="3" t="s">
        <v>49</v>
      </c>
    </row>
    <row r="98" spans="2:7" ht="7.5" customHeight="1" x14ac:dyDescent="0.25">
      <c r="B98" s="2"/>
      <c r="C98" s="2"/>
      <c r="D98" s="2"/>
      <c r="E98" s="2"/>
      <c r="F98" s="2"/>
    </row>
    <row r="99" spans="2:7" ht="33.950000000000003" customHeight="1" x14ac:dyDescent="0.25">
      <c r="B99" s="197" t="s">
        <v>55</v>
      </c>
      <c r="C99" s="198"/>
      <c r="D99" s="198"/>
      <c r="E99" s="198"/>
      <c r="F99" s="198"/>
      <c r="G99" s="3" t="s">
        <v>49</v>
      </c>
    </row>
    <row r="100" spans="2:7" ht="6.95" customHeight="1" x14ac:dyDescent="0.25">
      <c r="B100" s="24"/>
      <c r="C100" s="24"/>
      <c r="D100" s="24"/>
      <c r="E100" s="24"/>
      <c r="F100" s="24"/>
    </row>
    <row r="101" spans="2:7" ht="33.950000000000003" customHeight="1" x14ac:dyDescent="0.25">
      <c r="B101" s="194" t="s">
        <v>56</v>
      </c>
      <c r="C101" s="194"/>
      <c r="D101" s="194"/>
      <c r="E101" s="194"/>
      <c r="F101" s="194"/>
      <c r="G101" s="3" t="s">
        <v>49</v>
      </c>
    </row>
    <row r="102" spans="2:7" ht="24.95" customHeight="1" x14ac:dyDescent="0.25"/>
    <row r="103" spans="2:7" ht="19.5" customHeight="1" x14ac:dyDescent="0.25">
      <c r="B103" s="195" t="str">
        <f>IF(AND(G87="ÁNO",G89="ÁNO",G91="ÁNO",G93="ÁNO",OR(G95="ÁNO",G95="NIE (kompenzácia do 100 tis. EUR)"),G97="ÁNO",G99="ÁNO",G101="ÁNO"),"","NIE SÚ VYPLNENÉ VŠETKY ČESTNÉ PREHLÁSENIA")</f>
        <v>NIE SÚ VYPLNENÉ VŠETKY ČESTNÉ PREHLÁSENIA</v>
      </c>
      <c r="C103" s="196"/>
      <c r="D103" s="196"/>
      <c r="E103" s="196"/>
      <c r="F103" s="196"/>
    </row>
    <row r="104" spans="2:7" ht="24.95" customHeight="1" x14ac:dyDescent="0.25"/>
  </sheetData>
  <mergeCells count="20">
    <mergeCell ref="B101:F101"/>
    <mergeCell ref="B103:F103"/>
    <mergeCell ref="B93:F93"/>
    <mergeCell ref="B95:F95"/>
    <mergeCell ref="B99:F99"/>
    <mergeCell ref="B97:F97"/>
    <mergeCell ref="B1:F1"/>
    <mergeCell ref="B85:F85"/>
    <mergeCell ref="B91:F91"/>
    <mergeCell ref="B87:F87"/>
    <mergeCell ref="B89:F89"/>
    <mergeCell ref="A36:F36"/>
    <mergeCell ref="A53:F53"/>
    <mergeCell ref="B9:F9"/>
    <mergeCell ref="B12:F12"/>
    <mergeCell ref="B39:F39"/>
    <mergeCell ref="B42:F42"/>
    <mergeCell ref="B33:F33"/>
    <mergeCell ref="B48:F48"/>
    <mergeCell ref="B51:F51"/>
  </mergeCells>
  <dataValidations count="2">
    <dataValidation type="list" allowBlank="1" showInputMessage="1" showErrorMessage="1" prompt="ZVOLIŤ MOŽNOSŤ" sqref="G87 G91:G93 G97 G89 G99 G101">
      <formula1>"Zvoliť možnosť, ÁNO, NIE"</formula1>
    </dataValidation>
    <dataValidation type="list" allowBlank="1" showInputMessage="1" showErrorMessage="1" prompt="ZVOLIŤ MOŽNOSŤ" sqref="G95">
      <formula1>"Zvoliť možnosť, ÁNO, NIE, NIE (kompenzácia do 100 tis. EUR)"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1"/>
  <sheetViews>
    <sheetView showGridLines="0"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8" sqref="E18:E20"/>
    </sheetView>
  </sheetViews>
  <sheetFormatPr defaultColWidth="8.85546875" defaultRowHeight="15" x14ac:dyDescent="0.25"/>
  <cols>
    <col min="1" max="1" width="38.28515625" style="73" customWidth="1"/>
    <col min="2" max="2" width="10.42578125" style="77" customWidth="1"/>
    <col min="3" max="3" width="53.85546875" style="76" customWidth="1"/>
    <col min="4" max="4" width="5.7109375" style="77" customWidth="1"/>
    <col min="5" max="5" width="28.5703125" style="73" customWidth="1"/>
    <col min="6" max="9" width="21.42578125" style="73" customWidth="1"/>
    <col min="10" max="10" width="32.140625" style="79" customWidth="1"/>
    <col min="11" max="11" width="60.140625" style="79" customWidth="1"/>
    <col min="12" max="12" width="16.28515625" style="79" hidden="1" customWidth="1"/>
    <col min="13" max="13" width="8.85546875" style="79" hidden="1" customWidth="1"/>
    <col min="14" max="14" width="15" style="79" hidden="1" customWidth="1"/>
    <col min="15" max="15" width="19.42578125" style="79" hidden="1" customWidth="1"/>
    <col min="16" max="17" width="16.28515625" style="79" hidden="1" customWidth="1"/>
    <col min="18" max="20" width="8.85546875" style="79" hidden="1" customWidth="1"/>
    <col min="21" max="25" width="8.85546875" style="79" customWidth="1"/>
    <col min="26" max="16384" width="8.85546875" style="79"/>
  </cols>
  <sheetData>
    <row r="1" spans="1:11" ht="55.5" customHeight="1" thickBot="1" x14ac:dyDescent="0.3">
      <c r="A1" s="202" t="s">
        <v>242</v>
      </c>
      <c r="B1" s="202"/>
      <c r="C1" s="202"/>
      <c r="D1" s="202"/>
      <c r="E1" s="202"/>
      <c r="F1" s="202"/>
      <c r="G1" s="202"/>
      <c r="H1" s="202"/>
      <c r="I1" s="203"/>
      <c r="J1" s="98" t="s">
        <v>259</v>
      </c>
      <c r="K1" s="98" t="s">
        <v>260</v>
      </c>
    </row>
    <row r="2" spans="1:11" ht="39" customHeight="1" thickBot="1" x14ac:dyDescent="0.3">
      <c r="A2" s="204" t="s">
        <v>237</v>
      </c>
      <c r="B2" s="200" t="s">
        <v>170</v>
      </c>
      <c r="C2" s="200" t="s">
        <v>167</v>
      </c>
      <c r="D2" s="200" t="s">
        <v>234</v>
      </c>
      <c r="E2" s="94" t="s">
        <v>247</v>
      </c>
      <c r="F2" s="38" t="s">
        <v>243</v>
      </c>
      <c r="G2" s="38" t="s">
        <v>244</v>
      </c>
      <c r="H2" s="33" t="s">
        <v>245</v>
      </c>
      <c r="I2" s="48" t="s">
        <v>246</v>
      </c>
      <c r="J2" s="141"/>
      <c r="K2" s="74"/>
    </row>
    <row r="3" spans="1:11" ht="35.25" customHeight="1" thickBot="1" x14ac:dyDescent="0.3">
      <c r="A3" s="204"/>
      <c r="B3" s="200"/>
      <c r="C3" s="200"/>
      <c r="D3" s="200"/>
      <c r="E3" s="37" t="s">
        <v>206</v>
      </c>
      <c r="F3" s="34" t="s">
        <v>178</v>
      </c>
      <c r="G3" s="34" t="s">
        <v>178</v>
      </c>
      <c r="H3" s="34" t="s">
        <v>178</v>
      </c>
      <c r="I3" s="49" t="s">
        <v>57</v>
      </c>
      <c r="J3" s="99"/>
      <c r="K3" s="75"/>
    </row>
    <row r="4" spans="1:11" ht="13.5" customHeight="1" x14ac:dyDescent="0.25">
      <c r="A4" s="204"/>
      <c r="B4" s="200"/>
      <c r="C4" s="200"/>
      <c r="D4" s="200"/>
      <c r="E4" s="34" t="s">
        <v>58</v>
      </c>
      <c r="F4" s="34" t="s">
        <v>59</v>
      </c>
      <c r="G4" s="34" t="s">
        <v>60</v>
      </c>
      <c r="H4" s="34" t="s">
        <v>61</v>
      </c>
      <c r="I4" s="34" t="s">
        <v>62</v>
      </c>
      <c r="J4" s="113"/>
      <c r="K4" s="113"/>
    </row>
    <row r="5" spans="1:11" s="113" customFormat="1" ht="15" customHeight="1" x14ac:dyDescent="0.25">
      <c r="A5" s="199" t="s">
        <v>63</v>
      </c>
      <c r="B5" s="200" t="s">
        <v>169</v>
      </c>
      <c r="C5" s="81" t="s">
        <v>162</v>
      </c>
      <c r="D5" s="128"/>
      <c r="E5" s="153"/>
      <c r="F5" s="39"/>
      <c r="G5" s="39"/>
      <c r="H5" s="35">
        <f>+G5-F5</f>
        <v>0</v>
      </c>
      <c r="I5" s="50">
        <f>+ROUND(IF(H5&gt;0,H5*E5,0),4)</f>
        <v>0</v>
      </c>
      <c r="J5" s="79"/>
      <c r="K5" s="79"/>
    </row>
    <row r="6" spans="1:11" ht="15" customHeight="1" x14ac:dyDescent="0.25">
      <c r="A6" s="199"/>
      <c r="B6" s="200"/>
      <c r="C6" s="81" t="s">
        <v>163</v>
      </c>
      <c r="D6" s="200" t="s">
        <v>249</v>
      </c>
      <c r="E6" s="205"/>
      <c r="F6" s="39"/>
      <c r="G6" s="39"/>
      <c r="H6" s="35" t="s">
        <v>67</v>
      </c>
      <c r="I6" s="35" t="s">
        <v>67</v>
      </c>
    </row>
    <row r="7" spans="1:11" ht="15" customHeight="1" x14ac:dyDescent="0.25">
      <c r="A7" s="199"/>
      <c r="B7" s="200"/>
      <c r="C7" s="81" t="s">
        <v>164</v>
      </c>
      <c r="D7" s="200"/>
      <c r="E7" s="206"/>
      <c r="F7" s="39"/>
      <c r="G7" s="39"/>
      <c r="H7" s="35" t="s">
        <v>67</v>
      </c>
      <c r="I7" s="35" t="s">
        <v>67</v>
      </c>
    </row>
    <row r="8" spans="1:11" ht="15" customHeight="1" x14ac:dyDescent="0.25">
      <c r="A8" s="199"/>
      <c r="B8" s="200"/>
      <c r="C8" s="81" t="s">
        <v>168</v>
      </c>
      <c r="D8" s="200"/>
      <c r="E8" s="207"/>
      <c r="F8" s="35">
        <f>+F6+F7</f>
        <v>0</v>
      </c>
      <c r="G8" s="35">
        <f t="shared" ref="G8" si="0">+G6+G7</f>
        <v>0</v>
      </c>
      <c r="H8" s="35">
        <f>+G8-F8</f>
        <v>0</v>
      </c>
      <c r="I8" s="50">
        <f>+ROUND(IF(H8&gt;0,H8*E6,0),4)</f>
        <v>0</v>
      </c>
      <c r="J8" s="113"/>
      <c r="K8" s="113"/>
    </row>
    <row r="9" spans="1:11" s="113" customFormat="1" ht="15" customHeight="1" x14ac:dyDescent="0.25">
      <c r="A9" s="199" t="s">
        <v>63</v>
      </c>
      <c r="B9" s="200" t="s">
        <v>174</v>
      </c>
      <c r="C9" s="81" t="s">
        <v>162</v>
      </c>
      <c r="D9" s="128"/>
      <c r="E9" s="153"/>
      <c r="F9" s="39"/>
      <c r="G9" s="39"/>
      <c r="H9" s="35">
        <f>+G9-F9</f>
        <v>0</v>
      </c>
      <c r="I9" s="50">
        <f t="shared" ref="I9" si="1">+ROUND(IF(H9&gt;0,H9*E9,0),4)</f>
        <v>0</v>
      </c>
    </row>
    <row r="10" spans="1:11" s="113" customFormat="1" ht="15" customHeight="1" x14ac:dyDescent="0.25">
      <c r="A10" s="199"/>
      <c r="B10" s="200"/>
      <c r="C10" s="82" t="s">
        <v>222</v>
      </c>
      <c r="D10" s="128"/>
      <c r="E10" s="153"/>
      <c r="F10" s="39"/>
      <c r="G10" s="39"/>
      <c r="H10" s="35">
        <f>+G10-F10</f>
        <v>0</v>
      </c>
      <c r="I10" s="50">
        <f>+ROUND(IF(H10&gt;0,H10*E10,0),4)</f>
        <v>0</v>
      </c>
      <c r="J10" s="79"/>
      <c r="K10" s="79"/>
    </row>
    <row r="11" spans="1:11" ht="15" customHeight="1" x14ac:dyDescent="0.25">
      <c r="A11" s="199"/>
      <c r="B11" s="200"/>
      <c r="C11" s="81" t="s">
        <v>163</v>
      </c>
      <c r="D11" s="200" t="s">
        <v>249</v>
      </c>
      <c r="E11" s="201"/>
      <c r="F11" s="39"/>
      <c r="G11" s="39"/>
      <c r="H11" s="35" t="s">
        <v>67</v>
      </c>
      <c r="I11" s="35" t="s">
        <v>67</v>
      </c>
    </row>
    <row r="12" spans="1:11" ht="15" customHeight="1" x14ac:dyDescent="0.25">
      <c r="A12" s="199"/>
      <c r="B12" s="200"/>
      <c r="C12" s="81" t="s">
        <v>164</v>
      </c>
      <c r="D12" s="200"/>
      <c r="E12" s="201"/>
      <c r="F12" s="39"/>
      <c r="G12" s="39"/>
      <c r="H12" s="35" t="s">
        <v>67</v>
      </c>
      <c r="I12" s="35" t="s">
        <v>67</v>
      </c>
    </row>
    <row r="13" spans="1:11" ht="15" customHeight="1" x14ac:dyDescent="0.25">
      <c r="A13" s="199"/>
      <c r="B13" s="200"/>
      <c r="C13" s="81" t="s">
        <v>168</v>
      </c>
      <c r="D13" s="200"/>
      <c r="E13" s="201"/>
      <c r="F13" s="35">
        <f>+F11+F12</f>
        <v>0</v>
      </c>
      <c r="G13" s="35">
        <f t="shared" ref="G13" si="2">+G11+G12</f>
        <v>0</v>
      </c>
      <c r="H13" s="35">
        <f>+G13-F13</f>
        <v>0</v>
      </c>
      <c r="I13" s="50">
        <f>+ROUND(IF(H13&gt;0,H13*E11,0),4)</f>
        <v>0</v>
      </c>
      <c r="J13" s="113"/>
      <c r="K13" s="113"/>
    </row>
    <row r="14" spans="1:11" s="113" customFormat="1" ht="15" customHeight="1" x14ac:dyDescent="0.25">
      <c r="A14" s="199" t="s">
        <v>63</v>
      </c>
      <c r="B14" s="200" t="s">
        <v>175</v>
      </c>
      <c r="C14" s="81" t="s">
        <v>162</v>
      </c>
      <c r="D14" s="128"/>
      <c r="E14" s="153"/>
      <c r="F14" s="39"/>
      <c r="G14" s="39"/>
      <c r="H14" s="35">
        <f>+G14-F14</f>
        <v>0</v>
      </c>
      <c r="I14" s="50">
        <f t="shared" ref="I14" si="3">+ROUND(IF(H14&gt;0,H14*E14,0),4)</f>
        <v>0</v>
      </c>
      <c r="J14" s="79"/>
      <c r="K14" s="79"/>
    </row>
    <row r="15" spans="1:11" ht="15" customHeight="1" x14ac:dyDescent="0.25">
      <c r="A15" s="199"/>
      <c r="B15" s="200"/>
      <c r="C15" s="81" t="s">
        <v>179</v>
      </c>
      <c r="D15" s="200" t="s">
        <v>249</v>
      </c>
      <c r="E15" s="201"/>
      <c r="F15" s="39"/>
      <c r="G15" s="39"/>
      <c r="H15" s="35" t="s">
        <v>67</v>
      </c>
      <c r="I15" s="35" t="s">
        <v>67</v>
      </c>
    </row>
    <row r="16" spans="1:11" ht="15" customHeight="1" x14ac:dyDescent="0.25">
      <c r="A16" s="199"/>
      <c r="B16" s="200"/>
      <c r="C16" s="81" t="s">
        <v>164</v>
      </c>
      <c r="D16" s="200"/>
      <c r="E16" s="201"/>
      <c r="F16" s="39"/>
      <c r="G16" s="39"/>
      <c r="H16" s="35" t="s">
        <v>67</v>
      </c>
      <c r="I16" s="35" t="s">
        <v>67</v>
      </c>
    </row>
    <row r="17" spans="1:11" ht="15" customHeight="1" x14ac:dyDescent="0.25">
      <c r="A17" s="199"/>
      <c r="B17" s="200"/>
      <c r="C17" s="81" t="s">
        <v>182</v>
      </c>
      <c r="D17" s="200"/>
      <c r="E17" s="201"/>
      <c r="F17" s="35">
        <f>+F15+F16</f>
        <v>0</v>
      </c>
      <c r="G17" s="35">
        <f t="shared" ref="G17" si="4">+G15+G16</f>
        <v>0</v>
      </c>
      <c r="H17" s="35">
        <f>+G17-F17</f>
        <v>0</v>
      </c>
      <c r="I17" s="50">
        <f>+ROUND(IF(H17&gt;0,H17*E15,0),4)</f>
        <v>0</v>
      </c>
    </row>
    <row r="18" spans="1:11" ht="15" customHeight="1" x14ac:dyDescent="0.25">
      <c r="A18" s="199"/>
      <c r="B18" s="200"/>
      <c r="C18" s="81" t="s">
        <v>180</v>
      </c>
      <c r="D18" s="200" t="s">
        <v>249</v>
      </c>
      <c r="E18" s="201"/>
      <c r="F18" s="39"/>
      <c r="G18" s="39"/>
      <c r="H18" s="35" t="s">
        <v>67</v>
      </c>
      <c r="I18" s="35" t="s">
        <v>67</v>
      </c>
    </row>
    <row r="19" spans="1:11" ht="15" customHeight="1" x14ac:dyDescent="0.25">
      <c r="A19" s="199"/>
      <c r="B19" s="200"/>
      <c r="C19" s="81" t="s">
        <v>164</v>
      </c>
      <c r="D19" s="200"/>
      <c r="E19" s="201"/>
      <c r="F19" s="39"/>
      <c r="G19" s="39"/>
      <c r="H19" s="35" t="s">
        <v>67</v>
      </c>
      <c r="I19" s="35" t="s">
        <v>67</v>
      </c>
    </row>
    <row r="20" spans="1:11" ht="15" customHeight="1" x14ac:dyDescent="0.25">
      <c r="A20" s="199"/>
      <c r="B20" s="200"/>
      <c r="C20" s="81" t="s">
        <v>181</v>
      </c>
      <c r="D20" s="200"/>
      <c r="E20" s="201"/>
      <c r="F20" s="35">
        <f>+F18+F19</f>
        <v>0</v>
      </c>
      <c r="G20" s="35">
        <f t="shared" ref="G20" si="5">+G18+G19</f>
        <v>0</v>
      </c>
      <c r="H20" s="35">
        <f>+G20-F20</f>
        <v>0</v>
      </c>
      <c r="I20" s="50">
        <f>+ROUND(IF(H20&gt;0,H20*E18,0),4)</f>
        <v>0</v>
      </c>
      <c r="J20" s="113"/>
      <c r="K20" s="113"/>
    </row>
    <row r="21" spans="1:11" s="113" customFormat="1" ht="15" customHeight="1" x14ac:dyDescent="0.25">
      <c r="A21" s="199" t="s">
        <v>63</v>
      </c>
      <c r="B21" s="200" t="s">
        <v>176</v>
      </c>
      <c r="C21" s="81" t="s">
        <v>162</v>
      </c>
      <c r="D21" s="128"/>
      <c r="E21" s="153"/>
      <c r="F21" s="39"/>
      <c r="G21" s="39"/>
      <c r="H21" s="35">
        <f>+G21-F21</f>
        <v>0</v>
      </c>
      <c r="I21" s="50">
        <f t="shared" ref="I21:I22" si="6">+ROUND(IF(H21&gt;0,H21*E21,0),4)</f>
        <v>0</v>
      </c>
    </row>
    <row r="22" spans="1:11" s="113" customFormat="1" ht="15" customHeight="1" x14ac:dyDescent="0.25">
      <c r="A22" s="199"/>
      <c r="B22" s="200"/>
      <c r="C22" s="81" t="s">
        <v>222</v>
      </c>
      <c r="D22" s="128"/>
      <c r="E22" s="153"/>
      <c r="F22" s="39"/>
      <c r="G22" s="39"/>
      <c r="H22" s="35">
        <f>+G22-F22</f>
        <v>0</v>
      </c>
      <c r="I22" s="50">
        <f t="shared" si="6"/>
        <v>0</v>
      </c>
      <c r="J22" s="79"/>
      <c r="K22" s="79"/>
    </row>
    <row r="23" spans="1:11" ht="15" customHeight="1" x14ac:dyDescent="0.25">
      <c r="A23" s="199"/>
      <c r="B23" s="200"/>
      <c r="C23" s="81" t="s">
        <v>179</v>
      </c>
      <c r="D23" s="200" t="s">
        <v>249</v>
      </c>
      <c r="E23" s="201"/>
      <c r="F23" s="39"/>
      <c r="G23" s="39"/>
      <c r="H23" s="35" t="s">
        <v>67</v>
      </c>
      <c r="I23" s="35" t="s">
        <v>67</v>
      </c>
    </row>
    <row r="24" spans="1:11" ht="15" customHeight="1" x14ac:dyDescent="0.25">
      <c r="A24" s="199"/>
      <c r="B24" s="200"/>
      <c r="C24" s="81" t="s">
        <v>164</v>
      </c>
      <c r="D24" s="200"/>
      <c r="E24" s="201"/>
      <c r="F24" s="39"/>
      <c r="G24" s="39"/>
      <c r="H24" s="35" t="s">
        <v>67</v>
      </c>
      <c r="I24" s="35" t="s">
        <v>67</v>
      </c>
    </row>
    <row r="25" spans="1:11" ht="15" customHeight="1" x14ac:dyDescent="0.25">
      <c r="A25" s="199"/>
      <c r="B25" s="200"/>
      <c r="C25" s="81" t="s">
        <v>182</v>
      </c>
      <c r="D25" s="200"/>
      <c r="E25" s="201"/>
      <c r="F25" s="35">
        <f>+F23+F24</f>
        <v>0</v>
      </c>
      <c r="G25" s="35">
        <f>+G23+G24</f>
        <v>0</v>
      </c>
      <c r="H25" s="35">
        <f>+G25-F25</f>
        <v>0</v>
      </c>
      <c r="I25" s="50">
        <f>+ROUND(IF(H25&gt;0,H25*E23,0),4)</f>
        <v>0</v>
      </c>
    </row>
    <row r="26" spans="1:11" ht="15" customHeight="1" x14ac:dyDescent="0.25">
      <c r="A26" s="199"/>
      <c r="B26" s="200"/>
      <c r="C26" s="81" t="s">
        <v>180</v>
      </c>
      <c r="D26" s="200" t="s">
        <v>249</v>
      </c>
      <c r="E26" s="201"/>
      <c r="F26" s="39"/>
      <c r="G26" s="39"/>
      <c r="H26" s="35" t="s">
        <v>67</v>
      </c>
      <c r="I26" s="35" t="s">
        <v>67</v>
      </c>
    </row>
    <row r="27" spans="1:11" ht="15" customHeight="1" x14ac:dyDescent="0.25">
      <c r="A27" s="199"/>
      <c r="B27" s="200"/>
      <c r="C27" s="81" t="s">
        <v>164</v>
      </c>
      <c r="D27" s="200"/>
      <c r="E27" s="201"/>
      <c r="F27" s="39"/>
      <c r="G27" s="39"/>
      <c r="H27" s="35" t="s">
        <v>67</v>
      </c>
      <c r="I27" s="35" t="s">
        <v>67</v>
      </c>
    </row>
    <row r="28" spans="1:11" ht="15" customHeight="1" x14ac:dyDescent="0.25">
      <c r="A28" s="199"/>
      <c r="B28" s="200"/>
      <c r="C28" s="81" t="s">
        <v>181</v>
      </c>
      <c r="D28" s="200"/>
      <c r="E28" s="201"/>
      <c r="F28" s="35">
        <f>+F26+F27</f>
        <v>0</v>
      </c>
      <c r="G28" s="35">
        <f t="shared" ref="G28" si="7">+G26+G27</f>
        <v>0</v>
      </c>
      <c r="H28" s="35">
        <f>+G28-F28</f>
        <v>0</v>
      </c>
      <c r="I28" s="50">
        <f>+ROUND(IF(H28&gt;0,H28*E26,0),4)</f>
        <v>0</v>
      </c>
      <c r="J28" s="113"/>
      <c r="K28" s="113"/>
    </row>
    <row r="29" spans="1:11" s="113" customFormat="1" ht="15" customHeight="1" x14ac:dyDescent="0.25">
      <c r="A29" s="199" t="s">
        <v>63</v>
      </c>
      <c r="B29" s="200" t="s">
        <v>177</v>
      </c>
      <c r="C29" s="81" t="s">
        <v>162</v>
      </c>
      <c r="D29" s="128"/>
      <c r="E29" s="153"/>
      <c r="F29" s="39"/>
      <c r="G29" s="39"/>
      <c r="H29" s="35">
        <f>+G29-F29</f>
        <v>0</v>
      </c>
      <c r="I29" s="50">
        <f t="shared" ref="I29" si="8">+ROUND(IF(H29&gt;0,H29*E29,0),4)</f>
        <v>0</v>
      </c>
      <c r="J29" s="79"/>
      <c r="K29" s="79"/>
    </row>
    <row r="30" spans="1:11" ht="15" customHeight="1" x14ac:dyDescent="0.25">
      <c r="A30" s="199"/>
      <c r="B30" s="200"/>
      <c r="C30" s="81" t="s">
        <v>179</v>
      </c>
      <c r="D30" s="200" t="s">
        <v>249</v>
      </c>
      <c r="E30" s="201"/>
      <c r="F30" s="39"/>
      <c r="G30" s="39"/>
      <c r="H30" s="35" t="s">
        <v>67</v>
      </c>
      <c r="I30" s="35" t="s">
        <v>67</v>
      </c>
    </row>
    <row r="31" spans="1:11" ht="15" customHeight="1" x14ac:dyDescent="0.25">
      <c r="A31" s="199"/>
      <c r="B31" s="200"/>
      <c r="C31" s="81" t="s">
        <v>164</v>
      </c>
      <c r="D31" s="200"/>
      <c r="E31" s="201"/>
      <c r="F31" s="39"/>
      <c r="G31" s="39"/>
      <c r="H31" s="35" t="s">
        <v>67</v>
      </c>
      <c r="I31" s="35" t="s">
        <v>67</v>
      </c>
    </row>
    <row r="32" spans="1:11" ht="15" customHeight="1" x14ac:dyDescent="0.25">
      <c r="A32" s="199"/>
      <c r="B32" s="200"/>
      <c r="C32" s="81" t="s">
        <v>182</v>
      </c>
      <c r="D32" s="200"/>
      <c r="E32" s="201"/>
      <c r="F32" s="35">
        <f>+F30+F31</f>
        <v>0</v>
      </c>
      <c r="G32" s="35">
        <f t="shared" ref="G32" si="9">+G30+G31</f>
        <v>0</v>
      </c>
      <c r="H32" s="35">
        <f>+G32-F32</f>
        <v>0</v>
      </c>
      <c r="I32" s="50">
        <f>+ROUND(IF(H32&gt;0,H32*E30,0),4)</f>
        <v>0</v>
      </c>
    </row>
    <row r="33" spans="1:11" ht="15" customHeight="1" x14ac:dyDescent="0.25">
      <c r="A33" s="199"/>
      <c r="B33" s="200"/>
      <c r="C33" s="81" t="s">
        <v>180</v>
      </c>
      <c r="D33" s="200" t="s">
        <v>249</v>
      </c>
      <c r="E33" s="201"/>
      <c r="F33" s="39"/>
      <c r="G33" s="39"/>
      <c r="H33" s="35" t="s">
        <v>67</v>
      </c>
      <c r="I33" s="35" t="s">
        <v>67</v>
      </c>
    </row>
    <row r="34" spans="1:11" ht="15" customHeight="1" x14ac:dyDescent="0.25">
      <c r="A34" s="199"/>
      <c r="B34" s="200"/>
      <c r="C34" s="81" t="s">
        <v>164</v>
      </c>
      <c r="D34" s="200"/>
      <c r="E34" s="201"/>
      <c r="F34" s="39"/>
      <c r="G34" s="39"/>
      <c r="H34" s="35" t="s">
        <v>67</v>
      </c>
      <c r="I34" s="35" t="s">
        <v>67</v>
      </c>
    </row>
    <row r="35" spans="1:11" ht="15" customHeight="1" x14ac:dyDescent="0.25">
      <c r="A35" s="199"/>
      <c r="B35" s="200"/>
      <c r="C35" s="81" t="s">
        <v>181</v>
      </c>
      <c r="D35" s="200"/>
      <c r="E35" s="201"/>
      <c r="F35" s="35">
        <f>+F33+F34</f>
        <v>0</v>
      </c>
      <c r="G35" s="35">
        <f t="shared" ref="G35" si="10">+G33+G34</f>
        <v>0</v>
      </c>
      <c r="H35" s="35">
        <f>+G35-F35</f>
        <v>0</v>
      </c>
      <c r="I35" s="50">
        <f>+ROUND(IF(H35&gt;0,H35*E33,0),4)</f>
        <v>0</v>
      </c>
    </row>
    <row r="36" spans="1:11" ht="15" customHeight="1" x14ac:dyDescent="0.25">
      <c r="A36" s="199" t="s">
        <v>63</v>
      </c>
      <c r="B36" s="200" t="s">
        <v>200</v>
      </c>
      <c r="C36" s="81" t="s">
        <v>162</v>
      </c>
      <c r="D36" s="128"/>
      <c r="E36" s="153"/>
      <c r="F36" s="39"/>
      <c r="G36" s="39"/>
      <c r="H36" s="35">
        <f>+G36-F36</f>
        <v>0</v>
      </c>
      <c r="I36" s="50">
        <f t="shared" ref="I36" si="11">+ROUND(IF(H36&gt;0,H36*E36,0),4)</f>
        <v>0</v>
      </c>
    </row>
    <row r="37" spans="1:11" ht="15" customHeight="1" x14ac:dyDescent="0.25">
      <c r="A37" s="199"/>
      <c r="B37" s="200"/>
      <c r="C37" s="81" t="s">
        <v>179</v>
      </c>
      <c r="D37" s="200" t="s">
        <v>249</v>
      </c>
      <c r="E37" s="201"/>
      <c r="F37" s="39"/>
      <c r="G37" s="39"/>
      <c r="H37" s="35" t="s">
        <v>67</v>
      </c>
      <c r="I37" s="35" t="s">
        <v>67</v>
      </c>
      <c r="J37" s="113"/>
      <c r="K37" s="113"/>
    </row>
    <row r="38" spans="1:11" s="113" customFormat="1" ht="15" customHeight="1" x14ac:dyDescent="0.25">
      <c r="A38" s="199"/>
      <c r="B38" s="200"/>
      <c r="C38" s="81" t="s">
        <v>164</v>
      </c>
      <c r="D38" s="200"/>
      <c r="E38" s="201"/>
      <c r="F38" s="39"/>
      <c r="G38" s="39"/>
      <c r="H38" s="35" t="s">
        <v>67</v>
      </c>
      <c r="I38" s="35" t="s">
        <v>67</v>
      </c>
      <c r="J38" s="79"/>
      <c r="K38" s="79"/>
    </row>
    <row r="39" spans="1:11" ht="15" customHeight="1" x14ac:dyDescent="0.25">
      <c r="A39" s="199"/>
      <c r="B39" s="200"/>
      <c r="C39" s="81" t="s">
        <v>182</v>
      </c>
      <c r="D39" s="200"/>
      <c r="E39" s="201"/>
      <c r="F39" s="35">
        <f>+F37+F38</f>
        <v>0</v>
      </c>
      <c r="G39" s="35">
        <f t="shared" ref="G39" si="12">+G37+G38</f>
        <v>0</v>
      </c>
      <c r="H39" s="35">
        <f>+G39-F39</f>
        <v>0</v>
      </c>
      <c r="I39" s="50">
        <f>+ROUND(IF(H39&gt;0,H39*E37,0),4)</f>
        <v>0</v>
      </c>
    </row>
    <row r="40" spans="1:11" ht="15" customHeight="1" x14ac:dyDescent="0.25">
      <c r="A40" s="199"/>
      <c r="B40" s="200"/>
      <c r="C40" s="81" t="s">
        <v>180</v>
      </c>
      <c r="D40" s="200" t="s">
        <v>249</v>
      </c>
      <c r="E40" s="201"/>
      <c r="F40" s="39"/>
      <c r="G40" s="39"/>
      <c r="H40" s="35" t="s">
        <v>67</v>
      </c>
      <c r="I40" s="35" t="s">
        <v>67</v>
      </c>
    </row>
    <row r="41" spans="1:11" ht="15" customHeight="1" x14ac:dyDescent="0.25">
      <c r="A41" s="199"/>
      <c r="B41" s="200"/>
      <c r="C41" s="81" t="s">
        <v>164</v>
      </c>
      <c r="D41" s="200"/>
      <c r="E41" s="201"/>
      <c r="F41" s="39"/>
      <c r="G41" s="39"/>
      <c r="H41" s="35" t="s">
        <v>67</v>
      </c>
      <c r="I41" s="35" t="s">
        <v>67</v>
      </c>
      <c r="J41" s="113"/>
      <c r="K41" s="113"/>
    </row>
    <row r="42" spans="1:11" s="113" customFormat="1" ht="15" customHeight="1" x14ac:dyDescent="0.25">
      <c r="A42" s="199"/>
      <c r="B42" s="200"/>
      <c r="C42" s="81" t="s">
        <v>181</v>
      </c>
      <c r="D42" s="200"/>
      <c r="E42" s="201"/>
      <c r="F42" s="35">
        <f>+F40+F41</f>
        <v>0</v>
      </c>
      <c r="G42" s="35">
        <f t="shared" ref="G42" si="13">+G40+G41</f>
        <v>0</v>
      </c>
      <c r="H42" s="35">
        <f>+G42-F42</f>
        <v>0</v>
      </c>
      <c r="I42" s="50">
        <f>+ROUND(IF(H42&gt;0,H42*E40,0),4)</f>
        <v>0</v>
      </c>
    </row>
    <row r="43" spans="1:11" s="113" customFormat="1" ht="15" customHeight="1" x14ac:dyDescent="0.25">
      <c r="A43" s="199" t="s">
        <v>63</v>
      </c>
      <c r="B43" s="200" t="s">
        <v>199</v>
      </c>
      <c r="C43" s="81" t="s">
        <v>162</v>
      </c>
      <c r="D43" s="128"/>
      <c r="E43" s="153"/>
      <c r="F43" s="39"/>
      <c r="G43" s="39"/>
      <c r="H43" s="35">
        <f>+G43-F43</f>
        <v>0</v>
      </c>
      <c r="I43" s="50">
        <f>+ROUND(IF(H43&gt;0,H43*E43,0),4)</f>
        <v>0</v>
      </c>
    </row>
    <row r="44" spans="1:11" s="113" customFormat="1" ht="15" customHeight="1" x14ac:dyDescent="0.25">
      <c r="A44" s="199"/>
      <c r="B44" s="200"/>
      <c r="C44" s="81" t="s">
        <v>179</v>
      </c>
      <c r="D44" s="200" t="s">
        <v>249</v>
      </c>
      <c r="E44" s="201"/>
      <c r="F44" s="39"/>
      <c r="G44" s="39"/>
      <c r="H44" s="35" t="s">
        <v>67</v>
      </c>
      <c r="I44" s="35" t="s">
        <v>67</v>
      </c>
    </row>
    <row r="45" spans="1:11" s="113" customFormat="1" ht="15" customHeight="1" x14ac:dyDescent="0.25">
      <c r="A45" s="199"/>
      <c r="B45" s="200"/>
      <c r="C45" s="81" t="s">
        <v>164</v>
      </c>
      <c r="D45" s="200"/>
      <c r="E45" s="201"/>
      <c r="F45" s="39"/>
      <c r="G45" s="39"/>
      <c r="H45" s="35" t="s">
        <v>67</v>
      </c>
      <c r="I45" s="35" t="s">
        <v>67</v>
      </c>
    </row>
    <row r="46" spans="1:11" s="113" customFormat="1" ht="15" customHeight="1" x14ac:dyDescent="0.25">
      <c r="A46" s="199"/>
      <c r="B46" s="200"/>
      <c r="C46" s="81" t="s">
        <v>182</v>
      </c>
      <c r="D46" s="200"/>
      <c r="E46" s="201"/>
      <c r="F46" s="35">
        <f>+F44+F45</f>
        <v>0</v>
      </c>
      <c r="G46" s="35">
        <f t="shared" ref="G46" si="14">+G44+G45</f>
        <v>0</v>
      </c>
      <c r="H46" s="35">
        <f>+G46-F46</f>
        <v>0</v>
      </c>
      <c r="I46" s="50">
        <f>+ROUND(IF(H46&gt;0,H46*E44,0),4)</f>
        <v>0</v>
      </c>
    </row>
    <row r="47" spans="1:11" s="113" customFormat="1" ht="15" customHeight="1" x14ac:dyDescent="0.25">
      <c r="A47" s="199"/>
      <c r="B47" s="200"/>
      <c r="C47" s="81" t="s">
        <v>180</v>
      </c>
      <c r="D47" s="200" t="s">
        <v>249</v>
      </c>
      <c r="E47" s="201"/>
      <c r="F47" s="39"/>
      <c r="G47" s="39"/>
      <c r="H47" s="35" t="s">
        <v>67</v>
      </c>
      <c r="I47" s="35" t="s">
        <v>67</v>
      </c>
    </row>
    <row r="48" spans="1:11" s="113" customFormat="1" ht="15" customHeight="1" x14ac:dyDescent="0.25">
      <c r="A48" s="199"/>
      <c r="B48" s="200"/>
      <c r="C48" s="81" t="s">
        <v>164</v>
      </c>
      <c r="D48" s="200"/>
      <c r="E48" s="201"/>
      <c r="F48" s="39"/>
      <c r="G48" s="39"/>
      <c r="H48" s="35" t="s">
        <v>67</v>
      </c>
      <c r="I48" s="35" t="s">
        <v>67</v>
      </c>
    </row>
    <row r="49" spans="1:11" s="113" customFormat="1" ht="15" customHeight="1" x14ac:dyDescent="0.25">
      <c r="A49" s="199"/>
      <c r="B49" s="200"/>
      <c r="C49" s="81" t="s">
        <v>181</v>
      </c>
      <c r="D49" s="200"/>
      <c r="E49" s="201"/>
      <c r="F49" s="35">
        <f>+F47+F48</f>
        <v>0</v>
      </c>
      <c r="G49" s="35">
        <f t="shared" ref="G49" si="15">+G47+G48</f>
        <v>0</v>
      </c>
      <c r="H49" s="35">
        <f>+G49-F49</f>
        <v>0</v>
      </c>
      <c r="I49" s="50">
        <f>+ROUND(IF(H49&gt;0,H49*E47,0),4)</f>
        <v>0</v>
      </c>
      <c r="J49" s="79"/>
      <c r="K49" s="79"/>
    </row>
    <row r="50" spans="1:11" ht="15" customHeight="1" x14ac:dyDescent="0.25">
      <c r="A50" s="199" t="s">
        <v>63</v>
      </c>
      <c r="B50" s="200" t="s">
        <v>198</v>
      </c>
      <c r="C50" s="81" t="s">
        <v>162</v>
      </c>
      <c r="D50" s="128"/>
      <c r="E50" s="153"/>
      <c r="F50" s="39"/>
      <c r="G50" s="39"/>
      <c r="H50" s="35">
        <f>+G50-F50</f>
        <v>0</v>
      </c>
      <c r="I50" s="50">
        <f>+ROUND(IF(H50&gt;0,H50*E50,0),4)</f>
        <v>0</v>
      </c>
    </row>
    <row r="51" spans="1:11" ht="15" customHeight="1" x14ac:dyDescent="0.25">
      <c r="A51" s="199"/>
      <c r="B51" s="200"/>
      <c r="C51" s="81" t="s">
        <v>179</v>
      </c>
      <c r="D51" s="200" t="s">
        <v>249</v>
      </c>
      <c r="E51" s="201"/>
      <c r="F51" s="39"/>
      <c r="G51" s="39"/>
      <c r="H51" s="35" t="s">
        <v>67</v>
      </c>
      <c r="I51" s="35" t="s">
        <v>67</v>
      </c>
    </row>
    <row r="52" spans="1:11" ht="15" customHeight="1" x14ac:dyDescent="0.25">
      <c r="A52" s="199"/>
      <c r="B52" s="200"/>
      <c r="C52" s="81" t="s">
        <v>164</v>
      </c>
      <c r="D52" s="200"/>
      <c r="E52" s="201"/>
      <c r="F52" s="39"/>
      <c r="G52" s="39"/>
      <c r="H52" s="35" t="s">
        <v>67</v>
      </c>
      <c r="I52" s="35" t="s">
        <v>67</v>
      </c>
    </row>
    <row r="53" spans="1:11" ht="15" customHeight="1" x14ac:dyDescent="0.25">
      <c r="A53" s="199"/>
      <c r="B53" s="200"/>
      <c r="C53" s="81" t="s">
        <v>182</v>
      </c>
      <c r="D53" s="200"/>
      <c r="E53" s="201"/>
      <c r="F53" s="35">
        <f>+F51+F52</f>
        <v>0</v>
      </c>
      <c r="G53" s="35">
        <f t="shared" ref="G53" si="16">+G51+G52</f>
        <v>0</v>
      </c>
      <c r="H53" s="35">
        <f>+G53-F53</f>
        <v>0</v>
      </c>
      <c r="I53" s="50">
        <f>+ROUND(IF(H53&gt;0,H53*E51,0),4)</f>
        <v>0</v>
      </c>
    </row>
    <row r="54" spans="1:11" ht="15" customHeight="1" x14ac:dyDescent="0.25">
      <c r="A54" s="199"/>
      <c r="B54" s="200"/>
      <c r="C54" s="81" t="s">
        <v>180</v>
      </c>
      <c r="D54" s="200" t="s">
        <v>249</v>
      </c>
      <c r="E54" s="201"/>
      <c r="F54" s="39"/>
      <c r="G54" s="39"/>
      <c r="H54" s="35" t="s">
        <v>67</v>
      </c>
      <c r="I54" s="35" t="s">
        <v>67</v>
      </c>
    </row>
    <row r="55" spans="1:11" ht="15" customHeight="1" x14ac:dyDescent="0.25">
      <c r="A55" s="199"/>
      <c r="B55" s="200"/>
      <c r="C55" s="81" t="s">
        <v>164</v>
      </c>
      <c r="D55" s="200"/>
      <c r="E55" s="201"/>
      <c r="F55" s="39"/>
      <c r="G55" s="39"/>
      <c r="H55" s="35" t="s">
        <v>67</v>
      </c>
      <c r="I55" s="35" t="s">
        <v>67</v>
      </c>
    </row>
    <row r="56" spans="1:11" ht="15" customHeight="1" x14ac:dyDescent="0.25">
      <c r="A56" s="199"/>
      <c r="B56" s="200"/>
      <c r="C56" s="81" t="s">
        <v>181</v>
      </c>
      <c r="D56" s="200"/>
      <c r="E56" s="201"/>
      <c r="F56" s="35">
        <f>+F54+F55</f>
        <v>0</v>
      </c>
      <c r="G56" s="35">
        <f t="shared" ref="G56" si="17">+G54+G55</f>
        <v>0</v>
      </c>
      <c r="H56" s="35">
        <f>+G56-F56</f>
        <v>0</v>
      </c>
      <c r="I56" s="50">
        <f>+ROUND(IF(H56&gt;0,H56*E54,0),4)</f>
        <v>0</v>
      </c>
    </row>
    <row r="57" spans="1:11" ht="15" customHeight="1" x14ac:dyDescent="0.25">
      <c r="A57" s="199" t="s">
        <v>63</v>
      </c>
      <c r="B57" s="200" t="s">
        <v>224</v>
      </c>
      <c r="C57" s="81" t="s">
        <v>162</v>
      </c>
      <c r="D57" s="128"/>
      <c r="E57" s="153"/>
      <c r="F57" s="39"/>
      <c r="G57" s="39"/>
      <c r="H57" s="35">
        <f>+G57-F57</f>
        <v>0</v>
      </c>
      <c r="I57" s="50">
        <f t="shared" ref="I57" si="18">+ROUND(IF(H57&gt;0,H57*E57,0),4)</f>
        <v>0</v>
      </c>
    </row>
    <row r="58" spans="1:11" ht="15" customHeight="1" x14ac:dyDescent="0.25">
      <c r="A58" s="199"/>
      <c r="B58" s="200"/>
      <c r="C58" s="81" t="s">
        <v>179</v>
      </c>
      <c r="D58" s="200" t="s">
        <v>249</v>
      </c>
      <c r="E58" s="201"/>
      <c r="F58" s="39"/>
      <c r="G58" s="39"/>
      <c r="H58" s="35" t="s">
        <v>67</v>
      </c>
      <c r="I58" s="35" t="s">
        <v>67</v>
      </c>
    </row>
    <row r="59" spans="1:11" ht="15" customHeight="1" x14ac:dyDescent="0.25">
      <c r="A59" s="199"/>
      <c r="B59" s="200"/>
      <c r="C59" s="81" t="s">
        <v>164</v>
      </c>
      <c r="D59" s="200"/>
      <c r="E59" s="201"/>
      <c r="F59" s="39"/>
      <c r="G59" s="39"/>
      <c r="H59" s="35" t="s">
        <v>67</v>
      </c>
      <c r="I59" s="35" t="s">
        <v>67</v>
      </c>
    </row>
    <row r="60" spans="1:11" ht="15" customHeight="1" x14ac:dyDescent="0.25">
      <c r="A60" s="199"/>
      <c r="B60" s="200"/>
      <c r="C60" s="81" t="s">
        <v>182</v>
      </c>
      <c r="D60" s="200"/>
      <c r="E60" s="201"/>
      <c r="F60" s="35">
        <f>+F58+F59</f>
        <v>0</v>
      </c>
      <c r="G60" s="35">
        <f t="shared" ref="G60" si="19">+G58+G59</f>
        <v>0</v>
      </c>
      <c r="H60" s="35">
        <f>+G60-F60</f>
        <v>0</v>
      </c>
      <c r="I60" s="50">
        <f>+ROUND(IF(H60&gt;0,H60*E58,0),4)</f>
        <v>0</v>
      </c>
    </row>
    <row r="61" spans="1:11" ht="15" customHeight="1" x14ac:dyDescent="0.25">
      <c r="A61" s="199"/>
      <c r="B61" s="200"/>
      <c r="C61" s="81" t="s">
        <v>180</v>
      </c>
      <c r="D61" s="200" t="s">
        <v>249</v>
      </c>
      <c r="E61" s="201"/>
      <c r="F61" s="39"/>
      <c r="G61" s="39"/>
      <c r="H61" s="35" t="s">
        <v>67</v>
      </c>
      <c r="I61" s="35" t="s">
        <v>67</v>
      </c>
    </row>
    <row r="62" spans="1:11" ht="15" customHeight="1" x14ac:dyDescent="0.25">
      <c r="A62" s="199"/>
      <c r="B62" s="200"/>
      <c r="C62" s="81" t="s">
        <v>164</v>
      </c>
      <c r="D62" s="200"/>
      <c r="E62" s="201"/>
      <c r="F62" s="39"/>
      <c r="G62" s="39"/>
      <c r="H62" s="35" t="s">
        <v>67</v>
      </c>
      <c r="I62" s="35" t="s">
        <v>67</v>
      </c>
    </row>
    <row r="63" spans="1:11" ht="15" customHeight="1" x14ac:dyDescent="0.25">
      <c r="A63" s="199"/>
      <c r="B63" s="200"/>
      <c r="C63" s="81" t="s">
        <v>181</v>
      </c>
      <c r="D63" s="200"/>
      <c r="E63" s="201"/>
      <c r="F63" s="35">
        <f>+F61+F62</f>
        <v>0</v>
      </c>
      <c r="G63" s="35">
        <f t="shared" ref="G63" si="20">+G61+G62</f>
        <v>0</v>
      </c>
      <c r="H63" s="35">
        <f>+G63-F63</f>
        <v>0</v>
      </c>
      <c r="I63" s="50">
        <f>+ROUND(IF(H63&gt;0,H63*E61,0),4)</f>
        <v>0</v>
      </c>
    </row>
    <row r="64" spans="1:11" ht="15" customHeight="1" x14ac:dyDescent="0.25">
      <c r="A64" s="199" t="s">
        <v>235</v>
      </c>
      <c r="B64" s="200" t="s">
        <v>225</v>
      </c>
      <c r="C64" s="81" t="s">
        <v>162</v>
      </c>
      <c r="D64" s="128"/>
      <c r="E64" s="153"/>
      <c r="F64" s="39"/>
      <c r="G64" s="39"/>
      <c r="H64" s="35">
        <f>+G64-F64</f>
        <v>0</v>
      </c>
      <c r="I64" s="50">
        <f t="shared" ref="I64" si="21">+ROUND(IF(H64&gt;0,H64*E64,0),4)</f>
        <v>0</v>
      </c>
    </row>
    <row r="65" spans="1:18" ht="15" customHeight="1" x14ac:dyDescent="0.25">
      <c r="A65" s="199"/>
      <c r="B65" s="200"/>
      <c r="C65" s="81" t="s">
        <v>226</v>
      </c>
      <c r="D65" s="200" t="s">
        <v>249</v>
      </c>
      <c r="E65" s="201"/>
      <c r="F65" s="39"/>
      <c r="G65" s="39"/>
      <c r="H65" s="35" t="s">
        <v>67</v>
      </c>
      <c r="I65" s="35" t="s">
        <v>67</v>
      </c>
    </row>
    <row r="66" spans="1:18" ht="15" customHeight="1" x14ac:dyDescent="0.25">
      <c r="A66" s="199"/>
      <c r="B66" s="200"/>
      <c r="C66" s="81" t="s">
        <v>164</v>
      </c>
      <c r="D66" s="200"/>
      <c r="E66" s="201"/>
      <c r="F66" s="39"/>
      <c r="G66" s="39"/>
      <c r="H66" s="35" t="s">
        <v>67</v>
      </c>
      <c r="I66" s="35" t="s">
        <v>67</v>
      </c>
    </row>
    <row r="67" spans="1:18" ht="15" customHeight="1" x14ac:dyDescent="0.25">
      <c r="A67" s="199"/>
      <c r="B67" s="200"/>
      <c r="C67" s="81" t="s">
        <v>227</v>
      </c>
      <c r="D67" s="200"/>
      <c r="E67" s="201"/>
      <c r="F67" s="35">
        <f>+F65+F66</f>
        <v>0</v>
      </c>
      <c r="G67" s="35">
        <f t="shared" ref="G67" si="22">+G65+G66</f>
        <v>0</v>
      </c>
      <c r="H67" s="35">
        <f>+G67-F67</f>
        <v>0</v>
      </c>
      <c r="I67" s="50">
        <f>+ROUND(IF(H67&gt;0,H67*E65,0),4)</f>
        <v>0</v>
      </c>
    </row>
    <row r="68" spans="1:18" ht="15" customHeight="1" x14ac:dyDescent="0.25">
      <c r="A68" s="199"/>
      <c r="B68" s="200"/>
      <c r="C68" s="81" t="s">
        <v>179</v>
      </c>
      <c r="D68" s="200" t="s">
        <v>249</v>
      </c>
      <c r="E68" s="201"/>
      <c r="F68" s="39"/>
      <c r="G68" s="39"/>
      <c r="H68" s="35" t="s">
        <v>67</v>
      </c>
      <c r="I68" s="35" t="s">
        <v>67</v>
      </c>
    </row>
    <row r="69" spans="1:18" ht="15" customHeight="1" x14ac:dyDescent="0.25">
      <c r="A69" s="199"/>
      <c r="B69" s="200"/>
      <c r="C69" s="81" t="s">
        <v>164</v>
      </c>
      <c r="D69" s="200"/>
      <c r="E69" s="201"/>
      <c r="F69" s="39"/>
      <c r="G69" s="39"/>
      <c r="H69" s="35" t="s">
        <v>67</v>
      </c>
      <c r="I69" s="35" t="s">
        <v>67</v>
      </c>
    </row>
    <row r="70" spans="1:18" ht="15" customHeight="1" x14ac:dyDescent="0.25">
      <c r="A70" s="199"/>
      <c r="B70" s="200"/>
      <c r="C70" s="81" t="s">
        <v>182</v>
      </c>
      <c r="D70" s="200"/>
      <c r="E70" s="201"/>
      <c r="F70" s="35">
        <f>+F68+F69</f>
        <v>0</v>
      </c>
      <c r="G70" s="35">
        <f t="shared" ref="G70" si="23">+G68+G69</f>
        <v>0</v>
      </c>
      <c r="H70" s="35">
        <f>+G70-F70</f>
        <v>0</v>
      </c>
      <c r="I70" s="50">
        <f>+ROUND(IF(H70&gt;0,H70*E68,0),4)</f>
        <v>0</v>
      </c>
    </row>
    <row r="71" spans="1:18" ht="15" customHeight="1" x14ac:dyDescent="0.25">
      <c r="A71" s="199"/>
      <c r="B71" s="200"/>
      <c r="C71" s="81" t="s">
        <v>180</v>
      </c>
      <c r="D71" s="200" t="s">
        <v>249</v>
      </c>
      <c r="E71" s="201"/>
      <c r="F71" s="39"/>
      <c r="G71" s="39"/>
      <c r="H71" s="35" t="s">
        <v>67</v>
      </c>
      <c r="I71" s="35" t="s">
        <v>67</v>
      </c>
    </row>
    <row r="72" spans="1:18" ht="15" customHeight="1" x14ac:dyDescent="0.25">
      <c r="A72" s="199"/>
      <c r="B72" s="200"/>
      <c r="C72" s="81" t="s">
        <v>164</v>
      </c>
      <c r="D72" s="200"/>
      <c r="E72" s="201"/>
      <c r="F72" s="39"/>
      <c r="G72" s="39"/>
      <c r="H72" s="35" t="s">
        <v>67</v>
      </c>
      <c r="I72" s="35" t="s">
        <v>67</v>
      </c>
    </row>
    <row r="73" spans="1:18" ht="15" customHeight="1" x14ac:dyDescent="0.25">
      <c r="A73" s="199"/>
      <c r="B73" s="200"/>
      <c r="C73" s="81" t="s">
        <v>181</v>
      </c>
      <c r="D73" s="200"/>
      <c r="E73" s="201"/>
      <c r="F73" s="35">
        <f>+F71+F72</f>
        <v>0</v>
      </c>
      <c r="G73" s="35">
        <f t="shared" ref="G73" si="24">+G71+G72</f>
        <v>0</v>
      </c>
      <c r="H73" s="35">
        <f>+G73-F73</f>
        <v>0</v>
      </c>
      <c r="I73" s="50">
        <f>+ROUND(IF(H73&gt;0,H73*E71,0),4)</f>
        <v>0</v>
      </c>
    </row>
    <row r="74" spans="1:18" ht="15" customHeight="1" x14ac:dyDescent="0.25">
      <c r="A74" s="199"/>
      <c r="B74" s="200"/>
      <c r="C74" s="81" t="s">
        <v>228</v>
      </c>
      <c r="D74" s="200" t="s">
        <v>249</v>
      </c>
      <c r="E74" s="201"/>
      <c r="F74" s="39"/>
      <c r="G74" s="39"/>
      <c r="H74" s="35" t="s">
        <v>67</v>
      </c>
      <c r="I74" s="35" t="s">
        <v>67</v>
      </c>
    </row>
    <row r="75" spans="1:18" ht="15" customHeight="1" x14ac:dyDescent="0.25">
      <c r="A75" s="199"/>
      <c r="B75" s="200"/>
      <c r="C75" s="81" t="s">
        <v>164</v>
      </c>
      <c r="D75" s="200"/>
      <c r="E75" s="201"/>
      <c r="F75" s="39"/>
      <c r="G75" s="39"/>
      <c r="H75" s="35" t="s">
        <v>67</v>
      </c>
      <c r="I75" s="35" t="s">
        <v>67</v>
      </c>
    </row>
    <row r="76" spans="1:18" ht="15" customHeight="1" x14ac:dyDescent="0.25">
      <c r="A76" s="199"/>
      <c r="B76" s="200"/>
      <c r="C76" s="81" t="s">
        <v>229</v>
      </c>
      <c r="D76" s="200"/>
      <c r="E76" s="201"/>
      <c r="F76" s="35">
        <f>+F74+F75</f>
        <v>0</v>
      </c>
      <c r="G76" s="35">
        <f t="shared" ref="G76" si="25">+G74+G75</f>
        <v>0</v>
      </c>
      <c r="H76" s="35">
        <f>+G76-F76</f>
        <v>0</v>
      </c>
      <c r="I76" s="50">
        <f>+ROUND(IF(H76&gt;0,H76*E74,0),4)</f>
        <v>0</v>
      </c>
      <c r="N76" s="79" t="s">
        <v>285</v>
      </c>
      <c r="O76" s="79" t="s">
        <v>286</v>
      </c>
      <c r="P76" s="79" t="s">
        <v>283</v>
      </c>
      <c r="Q76" s="79" t="s">
        <v>289</v>
      </c>
      <c r="R76" s="79" t="s">
        <v>284</v>
      </c>
    </row>
    <row r="77" spans="1:18" ht="15" customHeight="1" x14ac:dyDescent="0.25">
      <c r="A77" s="209" t="s">
        <v>63</v>
      </c>
      <c r="B77" s="210" t="s">
        <v>188</v>
      </c>
      <c r="C77" s="109" t="s">
        <v>162</v>
      </c>
      <c r="D77" s="121" t="s">
        <v>67</v>
      </c>
      <c r="E77" s="52" t="s">
        <v>67</v>
      </c>
      <c r="F77" s="52" t="s">
        <v>67</v>
      </c>
      <c r="G77" s="52" t="s">
        <v>67</v>
      </c>
      <c r="H77" s="52" t="s">
        <v>67</v>
      </c>
      <c r="I77" s="52">
        <f>N77</f>
        <v>0</v>
      </c>
      <c r="N77" s="160">
        <f>ROUND(+I5+I9+I10+I14+I21+I22+I29+I36+I43+I50+I57+I64,6)</f>
        <v>0</v>
      </c>
      <c r="O77" s="160">
        <f>ROUND(SUM(E6,E11,E15,E18,E23,E26,E30,E33,E37,E40,E44,E47,E51,E54,E58,E61,E65,E68,E71,E74),3)</f>
        <v>0</v>
      </c>
      <c r="P77" s="79">
        <f>Q77*O77</f>
        <v>0</v>
      </c>
      <c r="Q77" s="79">
        <f>IFERROR(ROUND((N77+N78)/O77,6),0)</f>
        <v>0</v>
      </c>
      <c r="R77" s="79">
        <f>ROUND(Q77*O77*1.2,2)</f>
        <v>0</v>
      </c>
    </row>
    <row r="78" spans="1:18" ht="15" customHeight="1" x14ac:dyDescent="0.25">
      <c r="A78" s="209"/>
      <c r="B78" s="210"/>
      <c r="C78" s="109" t="s">
        <v>168</v>
      </c>
      <c r="D78" s="121"/>
      <c r="E78" s="168">
        <f>O77</f>
        <v>0</v>
      </c>
      <c r="F78" s="52" t="s">
        <v>67</v>
      </c>
      <c r="G78" s="52" t="s">
        <v>67</v>
      </c>
      <c r="H78" s="52" t="s">
        <v>67</v>
      </c>
      <c r="I78" s="52">
        <f>N78</f>
        <v>0</v>
      </c>
      <c r="N78" s="160">
        <f>ROUND(+I8+I13+I17+I20+I25+I28+I32+I35+I39+I42+I46+I49+I53+I56+I60+I63+I67+I70+I73+I76,6)</f>
        <v>0</v>
      </c>
    </row>
    <row r="79" spans="1:18" ht="15" customHeight="1" x14ac:dyDescent="0.25">
      <c r="A79" s="199" t="s">
        <v>64</v>
      </c>
      <c r="B79" s="200" t="s">
        <v>197</v>
      </c>
      <c r="C79" s="81" t="s">
        <v>230</v>
      </c>
      <c r="D79" s="128" t="s">
        <v>165</v>
      </c>
      <c r="E79" s="153"/>
      <c r="F79" s="39"/>
      <c r="G79" s="39"/>
      <c r="H79" s="35">
        <f>+G79-F79</f>
        <v>0</v>
      </c>
      <c r="I79" s="50">
        <f>+ROUND(IF(H79&gt;0,H79*E79,0),4)</f>
        <v>0</v>
      </c>
    </row>
    <row r="80" spans="1:18" ht="15" customHeight="1" x14ac:dyDescent="0.25">
      <c r="A80" s="199"/>
      <c r="B80" s="200"/>
      <c r="C80" s="81" t="s">
        <v>231</v>
      </c>
      <c r="D80" s="128" t="s">
        <v>166</v>
      </c>
      <c r="E80" s="153"/>
      <c r="F80" s="39"/>
      <c r="G80" s="39"/>
      <c r="H80" s="35">
        <f>+G80-F80</f>
        <v>0</v>
      </c>
      <c r="I80" s="50">
        <f>+ROUND(IF(H80&gt;0,H80*E80,0),4)</f>
        <v>0</v>
      </c>
    </row>
    <row r="81" spans="1:11" ht="15" customHeight="1" x14ac:dyDescent="0.25">
      <c r="A81" s="199"/>
      <c r="B81" s="200"/>
      <c r="C81" s="81" t="s">
        <v>163</v>
      </c>
      <c r="D81" s="200" t="s">
        <v>249</v>
      </c>
      <c r="E81" s="201"/>
      <c r="F81" s="39"/>
      <c r="G81" s="39"/>
      <c r="H81" s="35" t="s">
        <v>67</v>
      </c>
      <c r="I81" s="35" t="s">
        <v>67</v>
      </c>
    </row>
    <row r="82" spans="1:11" ht="15" customHeight="1" x14ac:dyDescent="0.25">
      <c r="A82" s="199"/>
      <c r="B82" s="200"/>
      <c r="C82" s="81" t="s">
        <v>164</v>
      </c>
      <c r="D82" s="200"/>
      <c r="E82" s="201"/>
      <c r="F82" s="39"/>
      <c r="G82" s="39"/>
      <c r="H82" s="35" t="s">
        <v>67</v>
      </c>
      <c r="I82" s="35" t="s">
        <v>67</v>
      </c>
    </row>
    <row r="83" spans="1:11" ht="15" customHeight="1" x14ac:dyDescent="0.25">
      <c r="A83" s="199"/>
      <c r="B83" s="200"/>
      <c r="C83" s="81" t="s">
        <v>168</v>
      </c>
      <c r="D83" s="200"/>
      <c r="E83" s="201"/>
      <c r="F83" s="35">
        <f>+F81+F82</f>
        <v>0</v>
      </c>
      <c r="G83" s="35">
        <f t="shared" ref="G83" si="26">+G81+G82</f>
        <v>0</v>
      </c>
      <c r="H83" s="35">
        <f>+G83-F83</f>
        <v>0</v>
      </c>
      <c r="I83" s="50">
        <f>+ROUND(IF(H83&gt;0,H83*E81,0),4)</f>
        <v>0</v>
      </c>
    </row>
    <row r="84" spans="1:11" ht="15" customHeight="1" x14ac:dyDescent="0.25">
      <c r="A84" s="199" t="s">
        <v>64</v>
      </c>
      <c r="B84" s="200" t="s">
        <v>171</v>
      </c>
      <c r="C84" s="81" t="s">
        <v>230</v>
      </c>
      <c r="D84" s="128" t="s">
        <v>165</v>
      </c>
      <c r="E84" s="153"/>
      <c r="F84" s="39"/>
      <c r="G84" s="39"/>
      <c r="H84" s="35">
        <f>+G84-F84</f>
        <v>0</v>
      </c>
      <c r="I84" s="50">
        <f t="shared" ref="I84" si="27">+ROUND(IF(H84&gt;0,H84*E84,0),4)</f>
        <v>0</v>
      </c>
    </row>
    <row r="85" spans="1:11" ht="15" customHeight="1" x14ac:dyDescent="0.25">
      <c r="A85" s="199"/>
      <c r="B85" s="200"/>
      <c r="C85" s="81" t="s">
        <v>231</v>
      </c>
      <c r="D85" s="128" t="s">
        <v>166</v>
      </c>
      <c r="E85" s="153"/>
      <c r="F85" s="39"/>
      <c r="G85" s="39"/>
      <c r="H85" s="35">
        <f>+G85-F85</f>
        <v>0</v>
      </c>
      <c r="I85" s="50">
        <f t="shared" ref="I85" si="28">+ROUND(IF(H85&gt;0,H85*E85,0),4)</f>
        <v>0</v>
      </c>
    </row>
    <row r="86" spans="1:11" ht="15" customHeight="1" x14ac:dyDescent="0.25">
      <c r="A86" s="199"/>
      <c r="B86" s="200"/>
      <c r="C86" s="81" t="s">
        <v>163</v>
      </c>
      <c r="D86" s="200" t="s">
        <v>249</v>
      </c>
      <c r="E86" s="201"/>
      <c r="F86" s="39"/>
      <c r="G86" s="39"/>
      <c r="H86" s="35" t="s">
        <v>67</v>
      </c>
      <c r="I86" s="35" t="s">
        <v>67</v>
      </c>
      <c r="J86" s="113"/>
      <c r="K86" s="113"/>
    </row>
    <row r="87" spans="1:11" s="113" customFormat="1" x14ac:dyDescent="0.25">
      <c r="A87" s="199"/>
      <c r="B87" s="200"/>
      <c r="C87" s="81" t="s">
        <v>164</v>
      </c>
      <c r="D87" s="200"/>
      <c r="E87" s="201"/>
      <c r="F87" s="39"/>
      <c r="G87" s="39"/>
      <c r="H87" s="35" t="s">
        <v>67</v>
      </c>
      <c r="I87" s="35" t="s">
        <v>67</v>
      </c>
      <c r="J87" s="79"/>
      <c r="K87" s="79"/>
    </row>
    <row r="88" spans="1:11" x14ac:dyDescent="0.25">
      <c r="A88" s="199"/>
      <c r="B88" s="200"/>
      <c r="C88" s="81" t="s">
        <v>168</v>
      </c>
      <c r="D88" s="200"/>
      <c r="E88" s="201"/>
      <c r="F88" s="35">
        <f>+F86+F87</f>
        <v>0</v>
      </c>
      <c r="G88" s="35">
        <f t="shared" ref="G88" si="29">+G86+G87</f>
        <v>0</v>
      </c>
      <c r="H88" s="35">
        <f>+G88-F88</f>
        <v>0</v>
      </c>
      <c r="I88" s="50">
        <f>+ROUND(IF(H88&gt;0,H88*E86,0),4)</f>
        <v>0</v>
      </c>
    </row>
    <row r="89" spans="1:11" ht="15" customHeight="1" x14ac:dyDescent="0.25">
      <c r="A89" s="199" t="s">
        <v>64</v>
      </c>
      <c r="B89" s="200" t="s">
        <v>196</v>
      </c>
      <c r="C89" s="81" t="s">
        <v>230</v>
      </c>
      <c r="D89" s="128" t="s">
        <v>165</v>
      </c>
      <c r="E89" s="153"/>
      <c r="F89" s="39"/>
      <c r="G89" s="39"/>
      <c r="H89" s="35">
        <f>+G89-F89</f>
        <v>0</v>
      </c>
      <c r="I89" s="50">
        <f t="shared" ref="I89" si="30">+ROUND(IF(H89&gt;0,H89*E89,0),4)</f>
        <v>0</v>
      </c>
    </row>
    <row r="90" spans="1:11" ht="15" customHeight="1" x14ac:dyDescent="0.25">
      <c r="A90" s="199"/>
      <c r="B90" s="200"/>
      <c r="C90" s="81" t="s">
        <v>231</v>
      </c>
      <c r="D90" s="128" t="s">
        <v>166</v>
      </c>
      <c r="E90" s="153"/>
      <c r="F90" s="39"/>
      <c r="G90" s="39"/>
      <c r="H90" s="35">
        <f>+G90-F90</f>
        <v>0</v>
      </c>
      <c r="I90" s="50">
        <f t="shared" ref="I90" si="31">+ROUND(IF(H90&gt;0,H90*E90,0),4)</f>
        <v>0</v>
      </c>
    </row>
    <row r="91" spans="1:11" x14ac:dyDescent="0.25">
      <c r="A91" s="199"/>
      <c r="B91" s="200"/>
      <c r="C91" s="81" t="s">
        <v>163</v>
      </c>
      <c r="D91" s="200" t="s">
        <v>249</v>
      </c>
      <c r="E91" s="201"/>
      <c r="F91" s="39"/>
      <c r="G91" s="39"/>
      <c r="H91" s="35" t="s">
        <v>67</v>
      </c>
      <c r="I91" s="35" t="s">
        <v>67</v>
      </c>
    </row>
    <row r="92" spans="1:11" x14ac:dyDescent="0.25">
      <c r="A92" s="199"/>
      <c r="B92" s="200"/>
      <c r="C92" s="81" t="s">
        <v>164</v>
      </c>
      <c r="D92" s="200"/>
      <c r="E92" s="201"/>
      <c r="F92" s="39"/>
      <c r="G92" s="39"/>
      <c r="H92" s="35" t="s">
        <v>67</v>
      </c>
      <c r="I92" s="35" t="s">
        <v>67</v>
      </c>
    </row>
    <row r="93" spans="1:11" x14ac:dyDescent="0.25">
      <c r="A93" s="199"/>
      <c r="B93" s="200"/>
      <c r="C93" s="81" t="s">
        <v>168</v>
      </c>
      <c r="D93" s="200"/>
      <c r="E93" s="201"/>
      <c r="F93" s="35">
        <f>+F91+F92</f>
        <v>0</v>
      </c>
      <c r="G93" s="35">
        <f t="shared" ref="G93" si="32">+G91+G92</f>
        <v>0</v>
      </c>
      <c r="H93" s="35">
        <f>+G93-F93</f>
        <v>0</v>
      </c>
      <c r="I93" s="50">
        <f>+ROUND(IF(H93&gt;0,H93*E91,0),4)</f>
        <v>0</v>
      </c>
    </row>
    <row r="94" spans="1:11" ht="15" customHeight="1" x14ac:dyDescent="0.25">
      <c r="A94" s="199" t="s">
        <v>64</v>
      </c>
      <c r="B94" s="200" t="s">
        <v>195</v>
      </c>
      <c r="C94" s="81" t="s">
        <v>230</v>
      </c>
      <c r="D94" s="128" t="s">
        <v>165</v>
      </c>
      <c r="E94" s="153"/>
      <c r="F94" s="39"/>
      <c r="G94" s="39"/>
      <c r="H94" s="35">
        <f>+G94-F94</f>
        <v>0</v>
      </c>
      <c r="I94" s="50">
        <f>+ROUND(IF(H94&gt;0,H94*E94,0),4)</f>
        <v>0</v>
      </c>
    </row>
    <row r="95" spans="1:11" ht="15" customHeight="1" x14ac:dyDescent="0.25">
      <c r="A95" s="199"/>
      <c r="B95" s="200"/>
      <c r="C95" s="81" t="s">
        <v>231</v>
      </c>
      <c r="D95" s="128" t="s">
        <v>166</v>
      </c>
      <c r="E95" s="153"/>
      <c r="F95" s="39"/>
      <c r="G95" s="39"/>
      <c r="H95" s="35">
        <f>+G95-F95</f>
        <v>0</v>
      </c>
      <c r="I95" s="50">
        <f>+ROUND(IF(H95&gt;0,H95*E95,0),4)</f>
        <v>0</v>
      </c>
    </row>
    <row r="96" spans="1:11" x14ac:dyDescent="0.25">
      <c r="A96" s="199"/>
      <c r="B96" s="200"/>
      <c r="C96" s="81" t="s">
        <v>179</v>
      </c>
      <c r="D96" s="200" t="s">
        <v>249</v>
      </c>
      <c r="E96" s="201"/>
      <c r="F96" s="39"/>
      <c r="G96" s="39"/>
      <c r="H96" s="35" t="s">
        <v>67</v>
      </c>
      <c r="I96" s="35" t="s">
        <v>67</v>
      </c>
    </row>
    <row r="97" spans="1:9" x14ac:dyDescent="0.25">
      <c r="A97" s="199"/>
      <c r="B97" s="200"/>
      <c r="C97" s="81" t="s">
        <v>164</v>
      </c>
      <c r="D97" s="200"/>
      <c r="E97" s="201"/>
      <c r="F97" s="39"/>
      <c r="G97" s="39"/>
      <c r="H97" s="35" t="s">
        <v>67</v>
      </c>
      <c r="I97" s="35" t="s">
        <v>67</v>
      </c>
    </row>
    <row r="98" spans="1:9" x14ac:dyDescent="0.25">
      <c r="A98" s="199"/>
      <c r="B98" s="200"/>
      <c r="C98" s="81" t="s">
        <v>182</v>
      </c>
      <c r="D98" s="200"/>
      <c r="E98" s="201"/>
      <c r="F98" s="35">
        <f>+F96+F97</f>
        <v>0</v>
      </c>
      <c r="G98" s="35">
        <f t="shared" ref="G98" si="33">+G96+G97</f>
        <v>0</v>
      </c>
      <c r="H98" s="35">
        <f>+G98-F98</f>
        <v>0</v>
      </c>
      <c r="I98" s="50">
        <f>+ROUND(IF(H98&gt;0,H98*E96,0),4)</f>
        <v>0</v>
      </c>
    </row>
    <row r="99" spans="1:9" x14ac:dyDescent="0.25">
      <c r="A99" s="199"/>
      <c r="B99" s="200"/>
      <c r="C99" s="81" t="s">
        <v>180</v>
      </c>
      <c r="D99" s="200" t="s">
        <v>249</v>
      </c>
      <c r="E99" s="201"/>
      <c r="F99" s="39"/>
      <c r="G99" s="39"/>
      <c r="H99" s="35" t="s">
        <v>67</v>
      </c>
      <c r="I99" s="35" t="s">
        <v>67</v>
      </c>
    </row>
    <row r="100" spans="1:9" x14ac:dyDescent="0.25">
      <c r="A100" s="199"/>
      <c r="B100" s="200"/>
      <c r="C100" s="81" t="s">
        <v>164</v>
      </c>
      <c r="D100" s="200"/>
      <c r="E100" s="201"/>
      <c r="F100" s="39"/>
      <c r="G100" s="39"/>
      <c r="H100" s="35" t="s">
        <v>67</v>
      </c>
      <c r="I100" s="35" t="s">
        <v>67</v>
      </c>
    </row>
    <row r="101" spans="1:9" ht="15" customHeight="1" x14ac:dyDescent="0.25">
      <c r="A101" s="199"/>
      <c r="B101" s="200"/>
      <c r="C101" s="81" t="s">
        <v>181</v>
      </c>
      <c r="D101" s="200"/>
      <c r="E101" s="201"/>
      <c r="F101" s="35">
        <f>+F99+F100</f>
        <v>0</v>
      </c>
      <c r="G101" s="35">
        <f t="shared" ref="G101" si="34">+G99+G100</f>
        <v>0</v>
      </c>
      <c r="H101" s="35">
        <f>+G101-F101</f>
        <v>0</v>
      </c>
      <c r="I101" s="50">
        <f>+ROUND(IF(H101&gt;0,H101*E99,0),4)</f>
        <v>0</v>
      </c>
    </row>
    <row r="102" spans="1:9" x14ac:dyDescent="0.25">
      <c r="A102" s="199" t="s">
        <v>64</v>
      </c>
      <c r="B102" s="200" t="s">
        <v>194</v>
      </c>
      <c r="C102" s="81" t="s">
        <v>230</v>
      </c>
      <c r="D102" s="128" t="s">
        <v>165</v>
      </c>
      <c r="E102" s="153"/>
      <c r="F102" s="39"/>
      <c r="G102" s="39"/>
      <c r="H102" s="35">
        <f>+G102-F102</f>
        <v>0</v>
      </c>
      <c r="I102" s="50">
        <f t="shared" ref="I102" si="35">+ROUND(IF(H102&gt;0,H102*E102,0),4)</f>
        <v>0</v>
      </c>
    </row>
    <row r="103" spans="1:9" x14ac:dyDescent="0.25">
      <c r="A103" s="199"/>
      <c r="B103" s="200"/>
      <c r="C103" s="81" t="s">
        <v>231</v>
      </c>
      <c r="D103" s="128" t="s">
        <v>166</v>
      </c>
      <c r="E103" s="153"/>
      <c r="F103" s="39"/>
      <c r="G103" s="39"/>
      <c r="H103" s="35">
        <f>+G103-F103</f>
        <v>0</v>
      </c>
      <c r="I103" s="50">
        <f>+ROUND(IF(H103&gt;0,H103*E103,0),4)</f>
        <v>0</v>
      </c>
    </row>
    <row r="104" spans="1:9" x14ac:dyDescent="0.25">
      <c r="A104" s="199"/>
      <c r="B104" s="200"/>
      <c r="C104" s="81" t="s">
        <v>179</v>
      </c>
      <c r="D104" s="200" t="s">
        <v>249</v>
      </c>
      <c r="E104" s="201"/>
      <c r="F104" s="39"/>
      <c r="G104" s="39"/>
      <c r="H104" s="35" t="s">
        <v>67</v>
      </c>
      <c r="I104" s="35" t="s">
        <v>67</v>
      </c>
    </row>
    <row r="105" spans="1:9" x14ac:dyDescent="0.25">
      <c r="A105" s="199"/>
      <c r="B105" s="200"/>
      <c r="C105" s="81" t="s">
        <v>164</v>
      </c>
      <c r="D105" s="200"/>
      <c r="E105" s="201"/>
      <c r="F105" s="39"/>
      <c r="G105" s="39"/>
      <c r="H105" s="35" t="s">
        <v>67</v>
      </c>
      <c r="I105" s="35" t="s">
        <v>67</v>
      </c>
    </row>
    <row r="106" spans="1:9" x14ac:dyDescent="0.25">
      <c r="A106" s="199"/>
      <c r="B106" s="200"/>
      <c r="C106" s="81" t="s">
        <v>182</v>
      </c>
      <c r="D106" s="200"/>
      <c r="E106" s="201"/>
      <c r="F106" s="35">
        <f>+F104+F105</f>
        <v>0</v>
      </c>
      <c r="G106" s="35">
        <f t="shared" ref="G106" si="36">+G104+G105</f>
        <v>0</v>
      </c>
      <c r="H106" s="35">
        <f>+G106-F106</f>
        <v>0</v>
      </c>
      <c r="I106" s="50">
        <f>+ROUND(IF(H106&gt;0,H106*E104,0),4)</f>
        <v>0</v>
      </c>
    </row>
    <row r="107" spans="1:9" x14ac:dyDescent="0.25">
      <c r="A107" s="199"/>
      <c r="B107" s="200"/>
      <c r="C107" s="81" t="s">
        <v>180</v>
      </c>
      <c r="D107" s="200" t="s">
        <v>249</v>
      </c>
      <c r="E107" s="201"/>
      <c r="F107" s="39"/>
      <c r="G107" s="39"/>
      <c r="H107" s="35" t="s">
        <v>67</v>
      </c>
      <c r="I107" s="35" t="s">
        <v>67</v>
      </c>
    </row>
    <row r="108" spans="1:9" x14ac:dyDescent="0.25">
      <c r="A108" s="199"/>
      <c r="B108" s="200"/>
      <c r="C108" s="81" t="s">
        <v>164</v>
      </c>
      <c r="D108" s="200"/>
      <c r="E108" s="201"/>
      <c r="F108" s="39"/>
      <c r="G108" s="39"/>
      <c r="H108" s="35" t="s">
        <v>67</v>
      </c>
      <c r="I108" s="35" t="s">
        <v>67</v>
      </c>
    </row>
    <row r="109" spans="1:9" x14ac:dyDescent="0.25">
      <c r="A109" s="199"/>
      <c r="B109" s="200"/>
      <c r="C109" s="81" t="s">
        <v>181</v>
      </c>
      <c r="D109" s="200"/>
      <c r="E109" s="201"/>
      <c r="F109" s="35">
        <f>+F107+F108</f>
        <v>0</v>
      </c>
      <c r="G109" s="35">
        <f t="shared" ref="G109" si="37">+G107+G108</f>
        <v>0</v>
      </c>
      <c r="H109" s="35">
        <f>+G109-F109</f>
        <v>0</v>
      </c>
      <c r="I109" s="50">
        <f>+ROUND(IF(H109&gt;0,H109*E107,0),4)</f>
        <v>0</v>
      </c>
    </row>
    <row r="110" spans="1:9" x14ac:dyDescent="0.25">
      <c r="A110" s="199" t="s">
        <v>64</v>
      </c>
      <c r="B110" s="200" t="s">
        <v>193</v>
      </c>
      <c r="C110" s="81" t="s">
        <v>230</v>
      </c>
      <c r="D110" s="128" t="s">
        <v>165</v>
      </c>
      <c r="E110" s="153"/>
      <c r="F110" s="39"/>
      <c r="G110" s="39"/>
      <c r="H110" s="35">
        <f>+G110-F110</f>
        <v>0</v>
      </c>
      <c r="I110" s="50">
        <f>+ROUND(IF(H110&gt;0,H110*E110,0),4)</f>
        <v>0</v>
      </c>
    </row>
    <row r="111" spans="1:9" x14ac:dyDescent="0.25">
      <c r="A111" s="199"/>
      <c r="B111" s="200"/>
      <c r="C111" s="81" t="s">
        <v>231</v>
      </c>
      <c r="D111" s="128" t="s">
        <v>166</v>
      </c>
      <c r="E111" s="153"/>
      <c r="F111" s="39"/>
      <c r="G111" s="39"/>
      <c r="H111" s="35">
        <f>+G111-F111</f>
        <v>0</v>
      </c>
      <c r="I111" s="50">
        <f>+ROUND(IF(H111&gt;0,H111*E111,0),4)</f>
        <v>0</v>
      </c>
    </row>
    <row r="112" spans="1:9" x14ac:dyDescent="0.25">
      <c r="A112" s="199"/>
      <c r="B112" s="200"/>
      <c r="C112" s="81" t="s">
        <v>179</v>
      </c>
      <c r="D112" s="200" t="s">
        <v>249</v>
      </c>
      <c r="E112" s="201"/>
      <c r="F112" s="39"/>
      <c r="G112" s="39"/>
      <c r="H112" s="35" t="s">
        <v>67</v>
      </c>
      <c r="I112" s="35" t="s">
        <v>67</v>
      </c>
    </row>
    <row r="113" spans="1:9" x14ac:dyDescent="0.25">
      <c r="A113" s="199"/>
      <c r="B113" s="200"/>
      <c r="C113" s="81" t="s">
        <v>164</v>
      </c>
      <c r="D113" s="200"/>
      <c r="E113" s="201"/>
      <c r="F113" s="39"/>
      <c r="G113" s="39"/>
      <c r="H113" s="35" t="s">
        <v>67</v>
      </c>
      <c r="I113" s="35" t="s">
        <v>67</v>
      </c>
    </row>
    <row r="114" spans="1:9" x14ac:dyDescent="0.25">
      <c r="A114" s="199"/>
      <c r="B114" s="200"/>
      <c r="C114" s="81" t="s">
        <v>182</v>
      </c>
      <c r="D114" s="200"/>
      <c r="E114" s="201"/>
      <c r="F114" s="35">
        <f>+F112+F113</f>
        <v>0</v>
      </c>
      <c r="G114" s="35">
        <f t="shared" ref="G114" si="38">+G112+G113</f>
        <v>0</v>
      </c>
      <c r="H114" s="35">
        <f>+G114-F114</f>
        <v>0</v>
      </c>
      <c r="I114" s="50">
        <f>+ROUND(IF(H114&gt;0,H114*E112,0),4)</f>
        <v>0</v>
      </c>
    </row>
    <row r="115" spans="1:9" x14ac:dyDescent="0.25">
      <c r="A115" s="199"/>
      <c r="B115" s="200"/>
      <c r="C115" s="81" t="s">
        <v>180</v>
      </c>
      <c r="D115" s="200" t="s">
        <v>249</v>
      </c>
      <c r="E115" s="201"/>
      <c r="F115" s="39"/>
      <c r="G115" s="39"/>
      <c r="H115" s="35" t="s">
        <v>67</v>
      </c>
      <c r="I115" s="35" t="s">
        <v>67</v>
      </c>
    </row>
    <row r="116" spans="1:9" x14ac:dyDescent="0.25">
      <c r="A116" s="199"/>
      <c r="B116" s="200"/>
      <c r="C116" s="81" t="s">
        <v>164</v>
      </c>
      <c r="D116" s="200"/>
      <c r="E116" s="201"/>
      <c r="F116" s="39"/>
      <c r="G116" s="39"/>
      <c r="H116" s="35" t="s">
        <v>67</v>
      </c>
      <c r="I116" s="35" t="s">
        <v>67</v>
      </c>
    </row>
    <row r="117" spans="1:9" x14ac:dyDescent="0.25">
      <c r="A117" s="199"/>
      <c r="B117" s="200"/>
      <c r="C117" s="81" t="s">
        <v>181</v>
      </c>
      <c r="D117" s="200"/>
      <c r="E117" s="201"/>
      <c r="F117" s="35">
        <f>+F115+F116</f>
        <v>0</v>
      </c>
      <c r="G117" s="35">
        <f t="shared" ref="G117" si="39">+G115+G116</f>
        <v>0</v>
      </c>
      <c r="H117" s="35">
        <f>+G117-F117</f>
        <v>0</v>
      </c>
      <c r="I117" s="50">
        <f>+ROUND(IF(H117&gt;0,H117*E115,0),4)</f>
        <v>0</v>
      </c>
    </row>
    <row r="118" spans="1:9" x14ac:dyDescent="0.25">
      <c r="A118" s="199" t="s">
        <v>64</v>
      </c>
      <c r="B118" s="200" t="s">
        <v>192</v>
      </c>
      <c r="C118" s="81" t="s">
        <v>230</v>
      </c>
      <c r="D118" s="128" t="s">
        <v>165</v>
      </c>
      <c r="E118" s="153"/>
      <c r="F118" s="39"/>
      <c r="G118" s="39"/>
      <c r="H118" s="35">
        <f>+G118-F118</f>
        <v>0</v>
      </c>
      <c r="I118" s="50">
        <f>+ROUND(IF(H118&gt;0,H118*E118,0),4)</f>
        <v>0</v>
      </c>
    </row>
    <row r="119" spans="1:9" x14ac:dyDescent="0.25">
      <c r="A119" s="199"/>
      <c r="B119" s="200"/>
      <c r="C119" s="81" t="s">
        <v>231</v>
      </c>
      <c r="D119" s="128" t="s">
        <v>166</v>
      </c>
      <c r="E119" s="153"/>
      <c r="F119" s="39"/>
      <c r="G119" s="39"/>
      <c r="H119" s="35">
        <f>+G119-F119</f>
        <v>0</v>
      </c>
      <c r="I119" s="50">
        <f>+ROUND(IF(H119&gt;0,H119*E119,0),4)</f>
        <v>0</v>
      </c>
    </row>
    <row r="120" spans="1:9" x14ac:dyDescent="0.25">
      <c r="A120" s="199"/>
      <c r="B120" s="200"/>
      <c r="C120" s="81" t="s">
        <v>179</v>
      </c>
      <c r="D120" s="200" t="s">
        <v>249</v>
      </c>
      <c r="E120" s="201"/>
      <c r="F120" s="39"/>
      <c r="G120" s="39"/>
      <c r="H120" s="35" t="s">
        <v>67</v>
      </c>
      <c r="I120" s="35" t="s">
        <v>67</v>
      </c>
    </row>
    <row r="121" spans="1:9" x14ac:dyDescent="0.25">
      <c r="A121" s="199"/>
      <c r="B121" s="200"/>
      <c r="C121" s="81" t="s">
        <v>164</v>
      </c>
      <c r="D121" s="200"/>
      <c r="E121" s="201"/>
      <c r="F121" s="39"/>
      <c r="G121" s="39"/>
      <c r="H121" s="35" t="s">
        <v>67</v>
      </c>
      <c r="I121" s="35" t="s">
        <v>67</v>
      </c>
    </row>
    <row r="122" spans="1:9" x14ac:dyDescent="0.25">
      <c r="A122" s="199"/>
      <c r="B122" s="200"/>
      <c r="C122" s="81" t="s">
        <v>182</v>
      </c>
      <c r="D122" s="200"/>
      <c r="E122" s="201"/>
      <c r="F122" s="35">
        <f>+F120+F121</f>
        <v>0</v>
      </c>
      <c r="G122" s="35">
        <f t="shared" ref="G122" si="40">+G120+G121</f>
        <v>0</v>
      </c>
      <c r="H122" s="35">
        <f>+G122-F122</f>
        <v>0</v>
      </c>
      <c r="I122" s="50">
        <f>+ROUND(IF(H122&gt;0,H122*E120,0),4)</f>
        <v>0</v>
      </c>
    </row>
    <row r="123" spans="1:9" x14ac:dyDescent="0.25">
      <c r="A123" s="199"/>
      <c r="B123" s="200"/>
      <c r="C123" s="81" t="s">
        <v>180</v>
      </c>
      <c r="D123" s="200" t="s">
        <v>249</v>
      </c>
      <c r="E123" s="201"/>
      <c r="F123" s="39"/>
      <c r="G123" s="39"/>
      <c r="H123" s="35" t="s">
        <v>67</v>
      </c>
      <c r="I123" s="35" t="s">
        <v>67</v>
      </c>
    </row>
    <row r="124" spans="1:9" x14ac:dyDescent="0.25">
      <c r="A124" s="199"/>
      <c r="B124" s="200"/>
      <c r="C124" s="81" t="s">
        <v>164</v>
      </c>
      <c r="D124" s="200"/>
      <c r="E124" s="201"/>
      <c r="F124" s="39"/>
      <c r="G124" s="39"/>
      <c r="H124" s="35" t="s">
        <v>67</v>
      </c>
      <c r="I124" s="35" t="s">
        <v>67</v>
      </c>
    </row>
    <row r="125" spans="1:9" x14ac:dyDescent="0.25">
      <c r="A125" s="199"/>
      <c r="B125" s="200"/>
      <c r="C125" s="81" t="s">
        <v>181</v>
      </c>
      <c r="D125" s="200"/>
      <c r="E125" s="201"/>
      <c r="F125" s="35">
        <f>+F123+F124</f>
        <v>0</v>
      </c>
      <c r="G125" s="35">
        <f t="shared" ref="G125" si="41">+G123+G124</f>
        <v>0</v>
      </c>
      <c r="H125" s="35">
        <f>+G125-F125</f>
        <v>0</v>
      </c>
      <c r="I125" s="50">
        <f>+ROUND(IF(H125&gt;0,H125*E123,0),4)</f>
        <v>0</v>
      </c>
    </row>
    <row r="126" spans="1:9" x14ac:dyDescent="0.25">
      <c r="A126" s="199" t="s">
        <v>64</v>
      </c>
      <c r="B126" s="200" t="s">
        <v>191</v>
      </c>
      <c r="C126" s="81" t="s">
        <v>230</v>
      </c>
      <c r="D126" s="128" t="s">
        <v>165</v>
      </c>
      <c r="E126" s="153"/>
      <c r="F126" s="39"/>
      <c r="G126" s="39"/>
      <c r="H126" s="35">
        <f>+G126-F126</f>
        <v>0</v>
      </c>
      <c r="I126" s="50">
        <f>+ROUND(IF(H126&gt;0,H126*E126,0),4)</f>
        <v>0</v>
      </c>
    </row>
    <row r="127" spans="1:9" x14ac:dyDescent="0.25">
      <c r="A127" s="199"/>
      <c r="B127" s="200"/>
      <c r="C127" s="81" t="s">
        <v>231</v>
      </c>
      <c r="D127" s="128" t="s">
        <v>166</v>
      </c>
      <c r="E127" s="153"/>
      <c r="F127" s="39"/>
      <c r="G127" s="39"/>
      <c r="H127" s="35">
        <f>+G127-F127</f>
        <v>0</v>
      </c>
      <c r="I127" s="50">
        <f>+ROUND(IF(H127&gt;0,H127*E127,0),4)</f>
        <v>0</v>
      </c>
    </row>
    <row r="128" spans="1:9" x14ac:dyDescent="0.25">
      <c r="A128" s="199"/>
      <c r="B128" s="200"/>
      <c r="C128" s="81" t="s">
        <v>179</v>
      </c>
      <c r="D128" s="200" t="s">
        <v>249</v>
      </c>
      <c r="E128" s="201"/>
      <c r="F128" s="39"/>
      <c r="G128" s="39"/>
      <c r="H128" s="35" t="s">
        <v>67</v>
      </c>
      <c r="I128" s="35" t="s">
        <v>67</v>
      </c>
    </row>
    <row r="129" spans="1:11" x14ac:dyDescent="0.25">
      <c r="A129" s="199"/>
      <c r="B129" s="200"/>
      <c r="C129" s="81" t="s">
        <v>164</v>
      </c>
      <c r="D129" s="200"/>
      <c r="E129" s="201"/>
      <c r="F129" s="39"/>
      <c r="G129" s="39"/>
      <c r="H129" s="35" t="s">
        <v>67</v>
      </c>
      <c r="I129" s="35" t="s">
        <v>67</v>
      </c>
    </row>
    <row r="130" spans="1:11" x14ac:dyDescent="0.25">
      <c r="A130" s="199"/>
      <c r="B130" s="200"/>
      <c r="C130" s="81" t="s">
        <v>182</v>
      </c>
      <c r="D130" s="200"/>
      <c r="E130" s="201"/>
      <c r="F130" s="35">
        <f>+F128+F129</f>
        <v>0</v>
      </c>
      <c r="G130" s="35">
        <f t="shared" ref="G130" si="42">+G128+G129</f>
        <v>0</v>
      </c>
      <c r="H130" s="35">
        <f>+G130-F130</f>
        <v>0</v>
      </c>
      <c r="I130" s="50">
        <f>+ROUND(IF(H130&gt;0,H130*E128,0),4)</f>
        <v>0</v>
      </c>
    </row>
    <row r="131" spans="1:11" x14ac:dyDescent="0.25">
      <c r="A131" s="199"/>
      <c r="B131" s="200"/>
      <c r="C131" s="81" t="s">
        <v>180</v>
      </c>
      <c r="D131" s="200" t="s">
        <v>249</v>
      </c>
      <c r="E131" s="201"/>
      <c r="F131" s="39"/>
      <c r="G131" s="39"/>
      <c r="H131" s="35" t="s">
        <v>67</v>
      </c>
      <c r="I131" s="35" t="s">
        <v>67</v>
      </c>
    </row>
    <row r="132" spans="1:11" x14ac:dyDescent="0.25">
      <c r="A132" s="199"/>
      <c r="B132" s="200"/>
      <c r="C132" s="81" t="s">
        <v>164</v>
      </c>
      <c r="D132" s="200"/>
      <c r="E132" s="201"/>
      <c r="F132" s="39"/>
      <c r="G132" s="39"/>
      <c r="H132" s="35" t="s">
        <v>67</v>
      </c>
      <c r="I132" s="35" t="s">
        <v>67</v>
      </c>
    </row>
    <row r="133" spans="1:11" x14ac:dyDescent="0.25">
      <c r="A133" s="199"/>
      <c r="B133" s="200"/>
      <c r="C133" s="81" t="s">
        <v>181</v>
      </c>
      <c r="D133" s="200"/>
      <c r="E133" s="201"/>
      <c r="F133" s="35">
        <f>+F131+F132</f>
        <v>0</v>
      </c>
      <c r="G133" s="35">
        <f t="shared" ref="G133" si="43">+G131+G132</f>
        <v>0</v>
      </c>
      <c r="H133" s="35">
        <f>+G133-F133</f>
        <v>0</v>
      </c>
      <c r="I133" s="50">
        <f>+ROUND(IF(H133&gt;0,H133*E131,0),4)</f>
        <v>0</v>
      </c>
    </row>
    <row r="134" spans="1:11" x14ac:dyDescent="0.25">
      <c r="A134" s="208" t="s">
        <v>64</v>
      </c>
      <c r="B134" s="211" t="s">
        <v>190</v>
      </c>
      <c r="C134" s="82" t="s">
        <v>162</v>
      </c>
      <c r="D134" s="129" t="s">
        <v>236</v>
      </c>
      <c r="E134" s="154"/>
      <c r="F134" s="46"/>
      <c r="G134" s="46"/>
      <c r="H134" s="36">
        <f>+G134-F134</f>
        <v>0</v>
      </c>
      <c r="I134" s="50">
        <f>+ROUND(IF(H134&gt;0,H134*E134,0),4)</f>
        <v>0</v>
      </c>
    </row>
    <row r="135" spans="1:11" x14ac:dyDescent="0.25">
      <c r="A135" s="208" t="s">
        <v>65</v>
      </c>
      <c r="B135" s="211"/>
      <c r="C135" s="82" t="s">
        <v>162</v>
      </c>
      <c r="D135" s="129" t="s">
        <v>238</v>
      </c>
      <c r="E135" s="154"/>
      <c r="F135" s="46"/>
      <c r="G135" s="46"/>
      <c r="H135" s="36">
        <f t="shared" ref="H135" si="44">+G135-F135</f>
        <v>0</v>
      </c>
      <c r="I135" s="50">
        <f t="shared" ref="I135:I137" si="45">+ROUND(IF(H135&gt;0,H135*E135,0),4)</f>
        <v>0</v>
      </c>
    </row>
    <row r="136" spans="1:11" x14ac:dyDescent="0.25">
      <c r="A136" s="199" t="s">
        <v>64</v>
      </c>
      <c r="B136" s="200" t="s">
        <v>189</v>
      </c>
      <c r="C136" s="81" t="s">
        <v>230</v>
      </c>
      <c r="D136" s="128" t="s">
        <v>165</v>
      </c>
      <c r="E136" s="153"/>
      <c r="F136" s="39"/>
      <c r="G136" s="39"/>
      <c r="H136" s="35">
        <f>+G136-F136</f>
        <v>0</v>
      </c>
      <c r="I136" s="50">
        <f t="shared" si="45"/>
        <v>0</v>
      </c>
    </row>
    <row r="137" spans="1:11" x14ac:dyDescent="0.25">
      <c r="A137" s="199"/>
      <c r="B137" s="200"/>
      <c r="C137" s="81" t="s">
        <v>231</v>
      </c>
      <c r="D137" s="128" t="s">
        <v>166</v>
      </c>
      <c r="E137" s="153"/>
      <c r="F137" s="39"/>
      <c r="G137" s="39"/>
      <c r="H137" s="35">
        <f>+G137-F137</f>
        <v>0</v>
      </c>
      <c r="I137" s="50">
        <f t="shared" si="45"/>
        <v>0</v>
      </c>
    </row>
    <row r="138" spans="1:11" x14ac:dyDescent="0.25">
      <c r="A138" s="199"/>
      <c r="B138" s="200"/>
      <c r="C138" s="81" t="s">
        <v>163</v>
      </c>
      <c r="D138" s="200" t="s">
        <v>249</v>
      </c>
      <c r="E138" s="201"/>
      <c r="F138" s="39"/>
      <c r="G138" s="39"/>
      <c r="H138" s="35" t="s">
        <v>67</v>
      </c>
      <c r="I138" s="35" t="s">
        <v>67</v>
      </c>
    </row>
    <row r="139" spans="1:11" x14ac:dyDescent="0.25">
      <c r="A139" s="199"/>
      <c r="B139" s="200"/>
      <c r="C139" s="81" t="s">
        <v>164</v>
      </c>
      <c r="D139" s="200"/>
      <c r="E139" s="201"/>
      <c r="F139" s="39"/>
      <c r="G139" s="39"/>
      <c r="H139" s="35" t="s">
        <v>67</v>
      </c>
      <c r="I139" s="35" t="s">
        <v>67</v>
      </c>
    </row>
    <row r="140" spans="1:11" x14ac:dyDescent="0.25">
      <c r="A140" s="199"/>
      <c r="B140" s="200"/>
      <c r="C140" s="81" t="s">
        <v>168</v>
      </c>
      <c r="D140" s="200"/>
      <c r="E140" s="201"/>
      <c r="F140" s="35">
        <f>+F138+F139</f>
        <v>0</v>
      </c>
      <c r="G140" s="35">
        <f t="shared" ref="G140" si="46">+G138+G139</f>
        <v>0</v>
      </c>
      <c r="H140" s="35">
        <f>+G140-F140</f>
        <v>0</v>
      </c>
      <c r="I140" s="50">
        <f>+ROUND(IF(H140&gt;0,H140*E138,0),4)</f>
        <v>0</v>
      </c>
      <c r="J140" s="148"/>
      <c r="K140" s="148"/>
    </row>
    <row r="141" spans="1:11" s="148" customFormat="1" x14ac:dyDescent="0.25">
      <c r="A141" s="218" t="s">
        <v>64</v>
      </c>
      <c r="B141" s="221" t="s">
        <v>187</v>
      </c>
      <c r="C141" s="83" t="s">
        <v>162</v>
      </c>
      <c r="D141" s="128" t="s">
        <v>236</v>
      </c>
      <c r="E141" s="153"/>
      <c r="F141" s="39"/>
      <c r="G141" s="39"/>
      <c r="H141" s="35">
        <f>+G141-F141</f>
        <v>0</v>
      </c>
      <c r="I141" s="50">
        <f>+ROUND(IF(H141&gt;0,H141*E141,0),4)</f>
        <v>0</v>
      </c>
    </row>
    <row r="142" spans="1:11" s="148" customFormat="1" x14ac:dyDescent="0.25">
      <c r="A142" s="219"/>
      <c r="B142" s="222"/>
      <c r="C142" s="83" t="s">
        <v>230</v>
      </c>
      <c r="D142" s="128" t="s">
        <v>165</v>
      </c>
      <c r="E142" s="153"/>
      <c r="F142" s="39"/>
      <c r="G142" s="39"/>
      <c r="H142" s="35">
        <f>+G142-F142</f>
        <v>0</v>
      </c>
      <c r="I142" s="50">
        <f>+ROUND(IF(H142&gt;0,H142*E142,0),4)</f>
        <v>0</v>
      </c>
    </row>
    <row r="143" spans="1:11" s="148" customFormat="1" x14ac:dyDescent="0.25">
      <c r="A143" s="219"/>
      <c r="B143" s="222"/>
      <c r="C143" s="83" t="s">
        <v>231</v>
      </c>
      <c r="D143" s="130" t="s">
        <v>166</v>
      </c>
      <c r="E143" s="153"/>
      <c r="F143" s="39"/>
      <c r="G143" s="39"/>
      <c r="H143" s="35">
        <f>+G143-F143</f>
        <v>0</v>
      </c>
      <c r="I143" s="50">
        <f>+ROUND(IF(H143&gt;0,H143*E143,0),4)</f>
        <v>0</v>
      </c>
      <c r="J143" s="79"/>
      <c r="K143" s="79"/>
    </row>
    <row r="144" spans="1:11" ht="14.45" customHeight="1" x14ac:dyDescent="0.25">
      <c r="A144" s="219"/>
      <c r="B144" s="222"/>
      <c r="C144" s="81" t="s">
        <v>163</v>
      </c>
      <c r="D144" s="200" t="s">
        <v>249</v>
      </c>
      <c r="E144" s="201"/>
      <c r="F144" s="39"/>
      <c r="G144" s="39"/>
      <c r="H144" s="35" t="s">
        <v>67</v>
      </c>
      <c r="I144" s="35" t="s">
        <v>67</v>
      </c>
    </row>
    <row r="145" spans="1:9" x14ac:dyDescent="0.25">
      <c r="A145" s="219"/>
      <c r="B145" s="222"/>
      <c r="C145" s="81" t="s">
        <v>164</v>
      </c>
      <c r="D145" s="200"/>
      <c r="E145" s="201"/>
      <c r="F145" s="39"/>
      <c r="G145" s="39"/>
      <c r="H145" s="35" t="s">
        <v>67</v>
      </c>
      <c r="I145" s="35" t="s">
        <v>67</v>
      </c>
    </row>
    <row r="146" spans="1:9" x14ac:dyDescent="0.25">
      <c r="A146" s="220"/>
      <c r="B146" s="223"/>
      <c r="C146" s="81" t="s">
        <v>168</v>
      </c>
      <c r="D146" s="200"/>
      <c r="E146" s="201"/>
      <c r="F146" s="35">
        <f>+F144+F145</f>
        <v>0</v>
      </c>
      <c r="G146" s="35">
        <f>+G144+G145</f>
        <v>0</v>
      </c>
      <c r="H146" s="35">
        <f>+G146-F146</f>
        <v>0</v>
      </c>
      <c r="I146" s="50">
        <f>+ROUND(IF(H146&gt;0,H146*E144,0),4)</f>
        <v>0</v>
      </c>
    </row>
    <row r="147" spans="1:9" x14ac:dyDescent="0.25">
      <c r="A147" s="199" t="s">
        <v>64</v>
      </c>
      <c r="B147" s="200" t="s">
        <v>232</v>
      </c>
      <c r="C147" s="81" t="s">
        <v>230</v>
      </c>
      <c r="D147" s="128" t="s">
        <v>165</v>
      </c>
      <c r="E147" s="153"/>
      <c r="F147" s="39"/>
      <c r="G147" s="39"/>
      <c r="H147" s="35">
        <f>+G147-F147</f>
        <v>0</v>
      </c>
      <c r="I147" s="50">
        <f t="shared" ref="I147" si="47">+ROUND(IF(H147&gt;0,H147*E147,0),4)</f>
        <v>0</v>
      </c>
    </row>
    <row r="148" spans="1:9" x14ac:dyDescent="0.25">
      <c r="A148" s="199"/>
      <c r="B148" s="200"/>
      <c r="C148" s="81" t="s">
        <v>231</v>
      </c>
      <c r="D148" s="128" t="s">
        <v>166</v>
      </c>
      <c r="E148" s="153"/>
      <c r="F148" s="39"/>
      <c r="G148" s="39"/>
      <c r="H148" s="35">
        <f>+G148-F148</f>
        <v>0</v>
      </c>
      <c r="I148" s="50">
        <f>+ROUND(IF(H148&gt;0,H148*E148,0),4)</f>
        <v>0</v>
      </c>
    </row>
    <row r="149" spans="1:9" x14ac:dyDescent="0.25">
      <c r="A149" s="199"/>
      <c r="B149" s="200"/>
      <c r="C149" s="81" t="s">
        <v>179</v>
      </c>
      <c r="D149" s="200" t="s">
        <v>249</v>
      </c>
      <c r="E149" s="201"/>
      <c r="F149" s="39"/>
      <c r="G149" s="39"/>
      <c r="H149" s="35" t="s">
        <v>67</v>
      </c>
      <c r="I149" s="35" t="s">
        <v>67</v>
      </c>
    </row>
    <row r="150" spans="1:9" x14ac:dyDescent="0.25">
      <c r="A150" s="199"/>
      <c r="B150" s="200"/>
      <c r="C150" s="81" t="s">
        <v>164</v>
      </c>
      <c r="D150" s="200"/>
      <c r="E150" s="201"/>
      <c r="F150" s="39"/>
      <c r="G150" s="39"/>
      <c r="H150" s="35" t="s">
        <v>67</v>
      </c>
      <c r="I150" s="35" t="s">
        <v>67</v>
      </c>
    </row>
    <row r="151" spans="1:9" x14ac:dyDescent="0.25">
      <c r="A151" s="199"/>
      <c r="B151" s="200"/>
      <c r="C151" s="81" t="s">
        <v>182</v>
      </c>
      <c r="D151" s="200"/>
      <c r="E151" s="201"/>
      <c r="F151" s="35">
        <f>+F149+F150</f>
        <v>0</v>
      </c>
      <c r="G151" s="35">
        <f t="shared" ref="G151" si="48">+G149+G150</f>
        <v>0</v>
      </c>
      <c r="H151" s="35">
        <f>+G151-F151</f>
        <v>0</v>
      </c>
      <c r="I151" s="50">
        <f>+ROUND(IF(H151&gt;0,H151*E149,0),4)</f>
        <v>0</v>
      </c>
    </row>
    <row r="152" spans="1:9" x14ac:dyDescent="0.25">
      <c r="A152" s="199"/>
      <c r="B152" s="200"/>
      <c r="C152" s="81" t="s">
        <v>180</v>
      </c>
      <c r="D152" s="200" t="s">
        <v>249</v>
      </c>
      <c r="E152" s="201"/>
      <c r="F152" s="39"/>
      <c r="G152" s="39"/>
      <c r="H152" s="35" t="s">
        <v>67</v>
      </c>
      <c r="I152" s="35" t="s">
        <v>67</v>
      </c>
    </row>
    <row r="153" spans="1:9" x14ac:dyDescent="0.25">
      <c r="A153" s="199"/>
      <c r="B153" s="200"/>
      <c r="C153" s="81" t="s">
        <v>164</v>
      </c>
      <c r="D153" s="200"/>
      <c r="E153" s="201"/>
      <c r="F153" s="39"/>
      <c r="G153" s="39"/>
      <c r="H153" s="35" t="s">
        <v>67</v>
      </c>
      <c r="I153" s="35" t="s">
        <v>67</v>
      </c>
    </row>
    <row r="154" spans="1:9" x14ac:dyDescent="0.25">
      <c r="A154" s="199"/>
      <c r="B154" s="200"/>
      <c r="C154" s="81" t="s">
        <v>181</v>
      </c>
      <c r="D154" s="200"/>
      <c r="E154" s="201"/>
      <c r="F154" s="35">
        <f>+F152+F153</f>
        <v>0</v>
      </c>
      <c r="G154" s="35">
        <f t="shared" ref="G154" si="49">+G152+G153</f>
        <v>0</v>
      </c>
      <c r="H154" s="35">
        <f>+G154-F154</f>
        <v>0</v>
      </c>
      <c r="I154" s="50">
        <f>+ROUND(IF(H154&gt;0,H154*E152,0),4)</f>
        <v>0</v>
      </c>
    </row>
    <row r="155" spans="1:9" x14ac:dyDescent="0.25">
      <c r="A155" s="199" t="s">
        <v>64</v>
      </c>
      <c r="B155" s="200" t="s">
        <v>233</v>
      </c>
      <c r="C155" s="81" t="s">
        <v>230</v>
      </c>
      <c r="D155" s="128" t="s">
        <v>165</v>
      </c>
      <c r="E155" s="153"/>
      <c r="F155" s="39"/>
      <c r="G155" s="39"/>
      <c r="H155" s="35">
        <f>+G155-F155</f>
        <v>0</v>
      </c>
      <c r="I155" s="50">
        <f t="shared" ref="I155" si="50">+ROUND(IF(H155&gt;0,H155*E155,0),4)</f>
        <v>0</v>
      </c>
    </row>
    <row r="156" spans="1:9" x14ac:dyDescent="0.25">
      <c r="A156" s="199"/>
      <c r="B156" s="200"/>
      <c r="C156" s="81" t="s">
        <v>231</v>
      </c>
      <c r="D156" s="128" t="s">
        <v>166</v>
      </c>
      <c r="E156" s="153"/>
      <c r="F156" s="39"/>
      <c r="G156" s="39"/>
      <c r="H156" s="35">
        <f>+G156-F156</f>
        <v>0</v>
      </c>
      <c r="I156" s="50">
        <f t="shared" ref="I156" si="51">+ROUND(IF(H156&gt;0,H156*E156,0),4)</f>
        <v>0</v>
      </c>
    </row>
    <row r="157" spans="1:9" x14ac:dyDescent="0.25">
      <c r="A157" s="199"/>
      <c r="B157" s="200"/>
      <c r="C157" s="81" t="s">
        <v>226</v>
      </c>
      <c r="D157" s="200" t="s">
        <v>249</v>
      </c>
      <c r="E157" s="201"/>
      <c r="F157" s="39"/>
      <c r="G157" s="39"/>
      <c r="H157" s="35" t="s">
        <v>67</v>
      </c>
      <c r="I157" s="35" t="s">
        <v>67</v>
      </c>
    </row>
    <row r="158" spans="1:9" x14ac:dyDescent="0.25">
      <c r="A158" s="199"/>
      <c r="B158" s="200"/>
      <c r="C158" s="81" t="s">
        <v>164</v>
      </c>
      <c r="D158" s="200"/>
      <c r="E158" s="201"/>
      <c r="F158" s="39"/>
      <c r="G158" s="39"/>
      <c r="H158" s="35" t="s">
        <v>67</v>
      </c>
      <c r="I158" s="35" t="s">
        <v>67</v>
      </c>
    </row>
    <row r="159" spans="1:9" x14ac:dyDescent="0.25">
      <c r="A159" s="199"/>
      <c r="B159" s="200"/>
      <c r="C159" s="81" t="s">
        <v>227</v>
      </c>
      <c r="D159" s="200"/>
      <c r="E159" s="201"/>
      <c r="F159" s="35">
        <f>+F157+F158</f>
        <v>0</v>
      </c>
      <c r="G159" s="35">
        <f t="shared" ref="G159" si="52">+G157+G158</f>
        <v>0</v>
      </c>
      <c r="H159" s="35">
        <f>+G159-F159</f>
        <v>0</v>
      </c>
      <c r="I159" s="50">
        <f>+ROUND(IF(H159&gt;0,H159*E157,0),4)</f>
        <v>0</v>
      </c>
    </row>
    <row r="160" spans="1:9" x14ac:dyDescent="0.25">
      <c r="A160" s="199"/>
      <c r="B160" s="200"/>
      <c r="C160" s="81" t="s">
        <v>179</v>
      </c>
      <c r="D160" s="200" t="s">
        <v>249</v>
      </c>
      <c r="E160" s="201"/>
      <c r="F160" s="39"/>
      <c r="G160" s="39"/>
      <c r="H160" s="35" t="s">
        <v>67</v>
      </c>
      <c r="I160" s="35" t="s">
        <v>67</v>
      </c>
    </row>
    <row r="161" spans="1:18" x14ac:dyDescent="0.25">
      <c r="A161" s="199"/>
      <c r="B161" s="200"/>
      <c r="C161" s="81" t="s">
        <v>164</v>
      </c>
      <c r="D161" s="200"/>
      <c r="E161" s="201"/>
      <c r="F161" s="39"/>
      <c r="G161" s="39"/>
      <c r="H161" s="35" t="s">
        <v>67</v>
      </c>
      <c r="I161" s="35" t="s">
        <v>67</v>
      </c>
    </row>
    <row r="162" spans="1:18" x14ac:dyDescent="0.25">
      <c r="A162" s="199"/>
      <c r="B162" s="200"/>
      <c r="C162" s="81" t="s">
        <v>182</v>
      </c>
      <c r="D162" s="200"/>
      <c r="E162" s="201"/>
      <c r="F162" s="35">
        <f>+F160+F161</f>
        <v>0</v>
      </c>
      <c r="G162" s="35">
        <f t="shared" ref="G162" si="53">+G160+G161</f>
        <v>0</v>
      </c>
      <c r="H162" s="35">
        <f>+G162-F162</f>
        <v>0</v>
      </c>
      <c r="I162" s="50">
        <f>+ROUND(IF(H162&gt;0,H162*E160,0),4)</f>
        <v>0</v>
      </c>
    </row>
    <row r="163" spans="1:18" x14ac:dyDescent="0.25">
      <c r="A163" s="199"/>
      <c r="B163" s="200"/>
      <c r="C163" s="81" t="s">
        <v>180</v>
      </c>
      <c r="D163" s="200" t="s">
        <v>249</v>
      </c>
      <c r="E163" s="201"/>
      <c r="F163" s="39"/>
      <c r="G163" s="39"/>
      <c r="H163" s="35" t="s">
        <v>67</v>
      </c>
      <c r="I163" s="35" t="s">
        <v>67</v>
      </c>
    </row>
    <row r="164" spans="1:18" x14ac:dyDescent="0.25">
      <c r="A164" s="199"/>
      <c r="B164" s="200"/>
      <c r="C164" s="81" t="s">
        <v>164</v>
      </c>
      <c r="D164" s="200"/>
      <c r="E164" s="201"/>
      <c r="F164" s="39"/>
      <c r="G164" s="39"/>
      <c r="H164" s="35" t="s">
        <v>67</v>
      </c>
      <c r="I164" s="35" t="s">
        <v>67</v>
      </c>
    </row>
    <row r="165" spans="1:18" x14ac:dyDescent="0.25">
      <c r="A165" s="199"/>
      <c r="B165" s="200"/>
      <c r="C165" s="81" t="s">
        <v>181</v>
      </c>
      <c r="D165" s="200"/>
      <c r="E165" s="201"/>
      <c r="F165" s="35">
        <f>+F163+F164</f>
        <v>0</v>
      </c>
      <c r="G165" s="35">
        <f t="shared" ref="G165" si="54">+G163+G164</f>
        <v>0</v>
      </c>
      <c r="H165" s="35">
        <f>+G165-F165</f>
        <v>0</v>
      </c>
      <c r="I165" s="50">
        <f>+ROUND(IF(H165&gt;0,H165*E163,0),4)</f>
        <v>0</v>
      </c>
    </row>
    <row r="166" spans="1:18" x14ac:dyDescent="0.25">
      <c r="A166" s="199"/>
      <c r="B166" s="200"/>
      <c r="C166" s="81" t="s">
        <v>228</v>
      </c>
      <c r="D166" s="200" t="s">
        <v>249</v>
      </c>
      <c r="E166" s="201"/>
      <c r="F166" s="39"/>
      <c r="G166" s="39"/>
      <c r="H166" s="35" t="s">
        <v>67</v>
      </c>
      <c r="I166" s="35" t="s">
        <v>67</v>
      </c>
    </row>
    <row r="167" spans="1:18" x14ac:dyDescent="0.25">
      <c r="A167" s="199"/>
      <c r="B167" s="200"/>
      <c r="C167" s="81" t="s">
        <v>164</v>
      </c>
      <c r="D167" s="200"/>
      <c r="E167" s="201"/>
      <c r="F167" s="39"/>
      <c r="G167" s="39"/>
      <c r="H167" s="35" t="s">
        <v>67</v>
      </c>
      <c r="I167" s="35" t="s">
        <v>67</v>
      </c>
    </row>
    <row r="168" spans="1:18" x14ac:dyDescent="0.25">
      <c r="A168" s="199"/>
      <c r="B168" s="200"/>
      <c r="C168" s="81" t="s">
        <v>229</v>
      </c>
      <c r="D168" s="200"/>
      <c r="E168" s="201"/>
      <c r="F168" s="35">
        <f>+F166+F167</f>
        <v>0</v>
      </c>
      <c r="G168" s="35">
        <f t="shared" ref="G168" si="55">+G166+G167</f>
        <v>0</v>
      </c>
      <c r="H168" s="35">
        <f>+G168-F168</f>
        <v>0</v>
      </c>
      <c r="I168" s="50">
        <f>+ROUND(IF(H168&gt;0,H168*E166,0),4)</f>
        <v>0</v>
      </c>
      <c r="N168" s="79" t="s">
        <v>285</v>
      </c>
      <c r="O168" s="79" t="s">
        <v>288</v>
      </c>
      <c r="P168" s="79" t="s">
        <v>283</v>
      </c>
      <c r="Q168" s="79" t="s">
        <v>289</v>
      </c>
      <c r="R168" s="79" t="s">
        <v>284</v>
      </c>
    </row>
    <row r="169" spans="1:18" x14ac:dyDescent="0.25">
      <c r="A169" s="209" t="s">
        <v>64</v>
      </c>
      <c r="B169" s="210" t="s">
        <v>188</v>
      </c>
      <c r="C169" s="109" t="s">
        <v>162</v>
      </c>
      <c r="D169" s="122" t="s">
        <v>67</v>
      </c>
      <c r="E169" s="52" t="s">
        <v>67</v>
      </c>
      <c r="F169" s="52" t="s">
        <v>67</v>
      </c>
      <c r="G169" s="52" t="s">
        <v>67</v>
      </c>
      <c r="H169" s="52" t="s">
        <v>67</v>
      </c>
      <c r="I169" s="52">
        <f>N169</f>
        <v>0</v>
      </c>
      <c r="N169" s="160">
        <f>ROUND(SUM(I79:I80,I84:I85,I89:I90,I94:I95,I102:I103,I110:I111,I118:I119,I126:I127,I134:I137,I147:I148,I155:I156,I141:I143),6)</f>
        <v>0</v>
      </c>
      <c r="O169" s="160">
        <f>ROUND(SUM(E81,E86,E91,E96,E99,E104,E107,E112,E115,E120,E123,E128,E131,E138,E144,E149,E152,E157,E160,E163,E166),3)</f>
        <v>0</v>
      </c>
      <c r="P169" s="174">
        <f>Q169*O169</f>
        <v>0</v>
      </c>
      <c r="Q169" s="174">
        <f>IFERROR(ROUND((N169+N170)/O169,6),0)</f>
        <v>0</v>
      </c>
      <c r="R169" s="79">
        <f>ROUND(Q169*O169*1.2,2)</f>
        <v>0</v>
      </c>
    </row>
    <row r="170" spans="1:18" x14ac:dyDescent="0.25">
      <c r="A170" s="209"/>
      <c r="B170" s="210"/>
      <c r="C170" s="109" t="s">
        <v>168</v>
      </c>
      <c r="D170" s="89" t="s">
        <v>249</v>
      </c>
      <c r="E170" s="168">
        <f>O169</f>
        <v>0</v>
      </c>
      <c r="F170" s="52" t="s">
        <v>67</v>
      </c>
      <c r="G170" s="52" t="s">
        <v>67</v>
      </c>
      <c r="H170" s="52" t="s">
        <v>67</v>
      </c>
      <c r="I170" s="52">
        <f>N170</f>
        <v>0</v>
      </c>
      <c r="N170" s="160">
        <f>ROUND(SUM(I83,I88,I93,I98,I101,I106,I109,I114,I117,I122,I125,I130,I133,I140,I146,I151,I154,I159,I162,I165,I168),6)</f>
        <v>0</v>
      </c>
    </row>
    <row r="171" spans="1:18" x14ac:dyDescent="0.25">
      <c r="A171" s="200" t="s">
        <v>65</v>
      </c>
      <c r="B171" s="200" t="s">
        <v>172</v>
      </c>
      <c r="C171" s="84" t="s">
        <v>203</v>
      </c>
      <c r="D171" s="142"/>
      <c r="E171" s="153"/>
      <c r="F171" s="173"/>
      <c r="G171" s="173"/>
      <c r="H171" s="35">
        <f t="shared" ref="H171:H180" si="56">+G171-F171</f>
        <v>0</v>
      </c>
      <c r="I171" s="50">
        <f>+ROUND(IF(H171&gt;0,H171*E171,0),4)</f>
        <v>0</v>
      </c>
    </row>
    <row r="172" spans="1:18" x14ac:dyDescent="0.25">
      <c r="A172" s="200"/>
      <c r="B172" s="200"/>
      <c r="C172" s="84" t="s">
        <v>204</v>
      </c>
      <c r="D172" s="142"/>
      <c r="E172" s="153"/>
      <c r="F172" s="173"/>
      <c r="G172" s="173"/>
      <c r="H172" s="35">
        <f t="shared" si="56"/>
        <v>0</v>
      </c>
      <c r="I172" s="50">
        <f t="shared" ref="I172:I180" si="57">+ROUND(IF(H172&gt;0,H172*E172,0),4)</f>
        <v>0</v>
      </c>
    </row>
    <row r="173" spans="1:18" x14ac:dyDescent="0.25">
      <c r="A173" s="200"/>
      <c r="B173" s="200"/>
      <c r="C173" s="84" t="s">
        <v>205</v>
      </c>
      <c r="D173" s="142"/>
      <c r="E173" s="153"/>
      <c r="F173" s="173"/>
      <c r="G173" s="173"/>
      <c r="H173" s="35">
        <f t="shared" si="56"/>
        <v>0</v>
      </c>
      <c r="I173" s="50">
        <f t="shared" si="57"/>
        <v>0</v>
      </c>
    </row>
    <row r="174" spans="1:18" x14ac:dyDescent="0.25">
      <c r="A174" s="200"/>
      <c r="B174" s="200"/>
      <c r="C174" s="85" t="s">
        <v>223</v>
      </c>
      <c r="D174" s="142"/>
      <c r="E174" s="153"/>
      <c r="F174" s="173"/>
      <c r="G174" s="173"/>
      <c r="H174" s="35">
        <f t="shared" si="56"/>
        <v>0</v>
      </c>
      <c r="I174" s="50">
        <f t="shared" si="57"/>
        <v>0</v>
      </c>
    </row>
    <row r="175" spans="1:18" ht="24" x14ac:dyDescent="0.25">
      <c r="A175" s="200"/>
      <c r="B175" s="200"/>
      <c r="C175" s="84" t="s">
        <v>207</v>
      </c>
      <c r="D175" s="128"/>
      <c r="E175" s="153"/>
      <c r="F175" s="39"/>
      <c r="G175" s="39"/>
      <c r="H175" s="35">
        <f t="shared" si="56"/>
        <v>0</v>
      </c>
      <c r="I175" s="50">
        <f t="shared" si="57"/>
        <v>0</v>
      </c>
    </row>
    <row r="176" spans="1:18" ht="24" x14ac:dyDescent="0.25">
      <c r="A176" s="200"/>
      <c r="B176" s="200"/>
      <c r="C176" s="84" t="s">
        <v>208</v>
      </c>
      <c r="D176" s="128"/>
      <c r="E176" s="153"/>
      <c r="F176" s="39"/>
      <c r="G176" s="39"/>
      <c r="H176" s="35">
        <f t="shared" si="56"/>
        <v>0</v>
      </c>
      <c r="I176" s="50">
        <f t="shared" si="57"/>
        <v>0</v>
      </c>
    </row>
    <row r="177" spans="1:9" ht="24.75" customHeight="1" x14ac:dyDescent="0.25">
      <c r="A177" s="200"/>
      <c r="B177" s="200"/>
      <c r="C177" s="84" t="s">
        <v>209</v>
      </c>
      <c r="D177" s="128"/>
      <c r="E177" s="153"/>
      <c r="F177" s="39"/>
      <c r="G177" s="39"/>
      <c r="H177" s="35">
        <f t="shared" si="56"/>
        <v>0</v>
      </c>
      <c r="I177" s="50">
        <f t="shared" si="57"/>
        <v>0</v>
      </c>
    </row>
    <row r="178" spans="1:9" ht="27" customHeight="1" x14ac:dyDescent="0.25">
      <c r="A178" s="200"/>
      <c r="B178" s="200"/>
      <c r="C178" s="84" t="s">
        <v>210</v>
      </c>
      <c r="D178" s="128"/>
      <c r="E178" s="153"/>
      <c r="F178" s="39"/>
      <c r="G178" s="39"/>
      <c r="H178" s="35">
        <f t="shared" si="56"/>
        <v>0</v>
      </c>
      <c r="I178" s="50">
        <f t="shared" si="57"/>
        <v>0</v>
      </c>
    </row>
    <row r="179" spans="1:9" x14ac:dyDescent="0.25">
      <c r="A179" s="200"/>
      <c r="B179" s="200"/>
      <c r="C179" s="84" t="s">
        <v>211</v>
      </c>
      <c r="D179" s="128"/>
      <c r="E179" s="153"/>
      <c r="F179" s="39"/>
      <c r="G179" s="39"/>
      <c r="H179" s="35">
        <f t="shared" si="56"/>
        <v>0</v>
      </c>
      <c r="I179" s="50">
        <f t="shared" si="57"/>
        <v>0</v>
      </c>
    </row>
    <row r="180" spans="1:9" x14ac:dyDescent="0.25">
      <c r="A180" s="200"/>
      <c r="B180" s="200"/>
      <c r="C180" s="84" t="s">
        <v>212</v>
      </c>
      <c r="D180" s="128"/>
      <c r="E180" s="153"/>
      <c r="F180" s="39"/>
      <c r="G180" s="39"/>
      <c r="H180" s="35">
        <f t="shared" si="56"/>
        <v>0</v>
      </c>
      <c r="I180" s="50">
        <f t="shared" si="57"/>
        <v>0</v>
      </c>
    </row>
    <row r="181" spans="1:9" x14ac:dyDescent="0.25">
      <c r="A181" s="200"/>
      <c r="B181" s="200"/>
      <c r="C181" s="84" t="s">
        <v>163</v>
      </c>
      <c r="D181" s="200" t="s">
        <v>249</v>
      </c>
      <c r="E181" s="201"/>
      <c r="F181" s="39"/>
      <c r="G181" s="39"/>
      <c r="H181" s="35" t="s">
        <v>67</v>
      </c>
      <c r="I181" s="35" t="s">
        <v>67</v>
      </c>
    </row>
    <row r="182" spans="1:9" x14ac:dyDescent="0.25">
      <c r="A182" s="200"/>
      <c r="B182" s="200"/>
      <c r="C182" s="84" t="s">
        <v>164</v>
      </c>
      <c r="D182" s="200"/>
      <c r="E182" s="201"/>
      <c r="F182" s="39"/>
      <c r="G182" s="39"/>
      <c r="H182" s="35" t="s">
        <v>67</v>
      </c>
      <c r="I182" s="35" t="s">
        <v>67</v>
      </c>
    </row>
    <row r="183" spans="1:9" x14ac:dyDescent="0.25">
      <c r="A183" s="200"/>
      <c r="B183" s="200"/>
      <c r="C183" s="84" t="s">
        <v>168</v>
      </c>
      <c r="D183" s="200"/>
      <c r="E183" s="201"/>
      <c r="F183" s="35">
        <f>+F181+F182</f>
        <v>0</v>
      </c>
      <c r="G183" s="35">
        <f t="shared" ref="G183" si="58">+G181+G182</f>
        <v>0</v>
      </c>
      <c r="H183" s="35">
        <f>+G183-F183</f>
        <v>0</v>
      </c>
      <c r="I183" s="50">
        <f>+ROUND(IF(H183&gt;0,H183*E181,0),4)</f>
        <v>0</v>
      </c>
    </row>
    <row r="184" spans="1:9" x14ac:dyDescent="0.25">
      <c r="A184" s="200"/>
      <c r="B184" s="200"/>
      <c r="C184" s="84" t="s">
        <v>184</v>
      </c>
      <c r="D184" s="200" t="s">
        <v>249</v>
      </c>
      <c r="E184" s="201"/>
      <c r="F184" s="39"/>
      <c r="G184" s="39"/>
      <c r="H184" s="35" t="s">
        <v>67</v>
      </c>
      <c r="I184" s="35" t="s">
        <v>67</v>
      </c>
    </row>
    <row r="185" spans="1:9" x14ac:dyDescent="0.25">
      <c r="A185" s="200"/>
      <c r="B185" s="200"/>
      <c r="C185" s="84" t="s">
        <v>164</v>
      </c>
      <c r="D185" s="200"/>
      <c r="E185" s="201"/>
      <c r="F185" s="39"/>
      <c r="G185" s="39"/>
      <c r="H185" s="35" t="s">
        <v>67</v>
      </c>
      <c r="I185" s="35" t="s">
        <v>67</v>
      </c>
    </row>
    <row r="186" spans="1:9" x14ac:dyDescent="0.25">
      <c r="A186" s="200"/>
      <c r="B186" s="200"/>
      <c r="C186" s="84" t="s">
        <v>219</v>
      </c>
      <c r="D186" s="200"/>
      <c r="E186" s="201"/>
      <c r="F186" s="35">
        <f>+F184+F185</f>
        <v>0</v>
      </c>
      <c r="G186" s="35">
        <f t="shared" ref="G186" si="59">+G184+G185</f>
        <v>0</v>
      </c>
      <c r="H186" s="35">
        <f>+G186-F186</f>
        <v>0</v>
      </c>
      <c r="I186" s="50">
        <f>+ROUND(IF(H186&gt;0,H186*E184,0),4)</f>
        <v>0</v>
      </c>
    </row>
    <row r="187" spans="1:9" x14ac:dyDescent="0.25">
      <c r="A187" s="200"/>
      <c r="B187" s="200"/>
      <c r="C187" s="84" t="s">
        <v>185</v>
      </c>
      <c r="D187" s="200" t="s">
        <v>249</v>
      </c>
      <c r="E187" s="201"/>
      <c r="F187" s="39"/>
      <c r="G187" s="39"/>
      <c r="H187" s="35" t="s">
        <v>67</v>
      </c>
      <c r="I187" s="35" t="s">
        <v>67</v>
      </c>
    </row>
    <row r="188" spans="1:9" x14ac:dyDescent="0.25">
      <c r="A188" s="200"/>
      <c r="B188" s="200"/>
      <c r="C188" s="84" t="s">
        <v>164</v>
      </c>
      <c r="D188" s="200"/>
      <c r="E188" s="201"/>
      <c r="F188" s="39"/>
      <c r="G188" s="39"/>
      <c r="H188" s="35" t="s">
        <v>67</v>
      </c>
      <c r="I188" s="35" t="s">
        <v>67</v>
      </c>
    </row>
    <row r="189" spans="1:9" x14ac:dyDescent="0.25">
      <c r="A189" s="200"/>
      <c r="B189" s="200"/>
      <c r="C189" s="84" t="s">
        <v>220</v>
      </c>
      <c r="D189" s="200"/>
      <c r="E189" s="201"/>
      <c r="F189" s="35">
        <f>+F187+F188</f>
        <v>0</v>
      </c>
      <c r="G189" s="35">
        <f t="shared" ref="G189" si="60">+G187+G188</f>
        <v>0</v>
      </c>
      <c r="H189" s="35">
        <f>+G189-F189</f>
        <v>0</v>
      </c>
      <c r="I189" s="50">
        <f>+ROUND(IF(H189&gt;0,H189*E187,0),4)</f>
        <v>0</v>
      </c>
    </row>
    <row r="190" spans="1:9" x14ac:dyDescent="0.25">
      <c r="A190" s="199" t="s">
        <v>65</v>
      </c>
      <c r="B190" s="200" t="s">
        <v>183</v>
      </c>
      <c r="C190" s="81" t="s">
        <v>162</v>
      </c>
      <c r="D190" s="128"/>
      <c r="E190" s="153"/>
      <c r="F190" s="39"/>
      <c r="G190" s="39"/>
      <c r="H190" s="45">
        <f>+G190-F190</f>
        <v>0</v>
      </c>
      <c r="I190" s="50">
        <f>+ROUND(IF(H190&gt;0,H190*E190,0),4)</f>
        <v>0</v>
      </c>
    </row>
    <row r="191" spans="1:9" x14ac:dyDescent="0.25">
      <c r="A191" s="199"/>
      <c r="B191" s="200"/>
      <c r="C191" s="81" t="s">
        <v>163</v>
      </c>
      <c r="D191" s="200" t="s">
        <v>249</v>
      </c>
      <c r="E191" s="201"/>
      <c r="F191" s="39"/>
      <c r="G191" s="39"/>
      <c r="H191" s="45" t="s">
        <v>67</v>
      </c>
      <c r="I191" s="45" t="s">
        <v>67</v>
      </c>
    </row>
    <row r="192" spans="1:9" x14ac:dyDescent="0.25">
      <c r="A192" s="199"/>
      <c r="B192" s="200"/>
      <c r="C192" s="81" t="s">
        <v>164</v>
      </c>
      <c r="D192" s="200"/>
      <c r="E192" s="201"/>
      <c r="F192" s="39"/>
      <c r="G192" s="39"/>
      <c r="H192" s="45" t="s">
        <v>67</v>
      </c>
      <c r="I192" s="45" t="s">
        <v>67</v>
      </c>
    </row>
    <row r="193" spans="1:18" x14ac:dyDescent="0.25">
      <c r="A193" s="199"/>
      <c r="B193" s="200"/>
      <c r="C193" s="81" t="s">
        <v>168</v>
      </c>
      <c r="D193" s="200"/>
      <c r="E193" s="201"/>
      <c r="F193" s="45">
        <f>+F191+F192</f>
        <v>0</v>
      </c>
      <c r="G193" s="45">
        <f t="shared" ref="G193" si="61">+G191+G192</f>
        <v>0</v>
      </c>
      <c r="H193" s="45">
        <f>+G193-F193</f>
        <v>0</v>
      </c>
      <c r="I193" s="50">
        <f>+ROUND(IF(H193&gt;0,H193*E191,0),4)</f>
        <v>0</v>
      </c>
    </row>
    <row r="194" spans="1:18" x14ac:dyDescent="0.25">
      <c r="A194" s="226" t="s">
        <v>65</v>
      </c>
      <c r="B194" s="211" t="s">
        <v>201</v>
      </c>
      <c r="C194" s="82" t="s">
        <v>202</v>
      </c>
      <c r="D194" s="129"/>
      <c r="E194" s="154"/>
      <c r="F194" s="46"/>
      <c r="G194" s="46"/>
      <c r="H194" s="36">
        <f>+G194-F194</f>
        <v>0</v>
      </c>
      <c r="I194" s="51">
        <f>ROUND(IF(H194&gt;0,H194*E194,0),4)</f>
        <v>0</v>
      </c>
    </row>
    <row r="195" spans="1:18" x14ac:dyDescent="0.25">
      <c r="A195" s="226"/>
      <c r="B195" s="211"/>
      <c r="C195" s="82" t="s">
        <v>163</v>
      </c>
      <c r="D195" s="200" t="s">
        <v>249</v>
      </c>
      <c r="E195" s="227"/>
      <c r="F195" s="46"/>
      <c r="G195" s="46"/>
      <c r="H195" s="36" t="s">
        <v>67</v>
      </c>
      <c r="I195" s="36" t="s">
        <v>67</v>
      </c>
    </row>
    <row r="196" spans="1:18" x14ac:dyDescent="0.25">
      <c r="A196" s="226"/>
      <c r="B196" s="211"/>
      <c r="C196" s="82" t="s">
        <v>164</v>
      </c>
      <c r="D196" s="200"/>
      <c r="E196" s="227"/>
      <c r="F196" s="46"/>
      <c r="G196" s="46"/>
      <c r="H196" s="36" t="s">
        <v>67</v>
      </c>
      <c r="I196" s="36" t="s">
        <v>67</v>
      </c>
    </row>
    <row r="197" spans="1:18" x14ac:dyDescent="0.25">
      <c r="A197" s="226"/>
      <c r="B197" s="211"/>
      <c r="C197" s="82" t="s">
        <v>168</v>
      </c>
      <c r="D197" s="200"/>
      <c r="E197" s="227"/>
      <c r="F197" s="36">
        <f>+F195+F196</f>
        <v>0</v>
      </c>
      <c r="G197" s="36">
        <f t="shared" ref="G197" si="62">+G195+G196</f>
        <v>0</v>
      </c>
      <c r="H197" s="36">
        <f>+G197-F197</f>
        <v>0</v>
      </c>
      <c r="I197" s="51">
        <f>ROUND(IF(H197&gt;0,H197*E195,0),4)</f>
        <v>0</v>
      </c>
    </row>
    <row r="198" spans="1:18" x14ac:dyDescent="0.25">
      <c r="A198" s="199" t="s">
        <v>65</v>
      </c>
      <c r="B198" s="200" t="s">
        <v>186</v>
      </c>
      <c r="C198" s="81" t="s">
        <v>163</v>
      </c>
      <c r="D198" s="200" t="s">
        <v>249</v>
      </c>
      <c r="E198" s="201"/>
      <c r="F198" s="39"/>
      <c r="G198" s="39"/>
      <c r="H198" s="35" t="s">
        <v>67</v>
      </c>
      <c r="I198" s="35" t="s">
        <v>67</v>
      </c>
    </row>
    <row r="199" spans="1:18" x14ac:dyDescent="0.25">
      <c r="A199" s="199"/>
      <c r="B199" s="200"/>
      <c r="C199" s="81" t="s">
        <v>164</v>
      </c>
      <c r="D199" s="200"/>
      <c r="E199" s="201"/>
      <c r="F199" s="39"/>
      <c r="G199" s="39"/>
      <c r="H199" s="35" t="s">
        <v>67</v>
      </c>
      <c r="I199" s="35" t="s">
        <v>67</v>
      </c>
    </row>
    <row r="200" spans="1:18" x14ac:dyDescent="0.25">
      <c r="A200" s="199"/>
      <c r="B200" s="200"/>
      <c r="C200" s="81" t="s">
        <v>168</v>
      </c>
      <c r="D200" s="200"/>
      <c r="E200" s="201"/>
      <c r="F200" s="35">
        <f>+F198+F199</f>
        <v>0</v>
      </c>
      <c r="G200" s="35">
        <f t="shared" ref="G200" si="63">+G198+G199</f>
        <v>0</v>
      </c>
      <c r="H200" s="35">
        <f>+G200-F200</f>
        <v>0</v>
      </c>
      <c r="I200" s="50">
        <f>+ROUND(IF(H200&gt;0,H200*E198,0),4)</f>
        <v>0</v>
      </c>
      <c r="N200" s="79" t="s">
        <v>285</v>
      </c>
      <c r="O200" s="79" t="s">
        <v>288</v>
      </c>
      <c r="P200" s="79" t="s">
        <v>283</v>
      </c>
      <c r="Q200" s="79" t="s">
        <v>289</v>
      </c>
      <c r="R200" s="79" t="s">
        <v>284</v>
      </c>
    </row>
    <row r="201" spans="1:18" x14ac:dyDescent="0.25">
      <c r="A201" s="209" t="s">
        <v>65</v>
      </c>
      <c r="B201" s="210" t="s">
        <v>188</v>
      </c>
      <c r="C201" s="109" t="s">
        <v>162</v>
      </c>
      <c r="D201" s="121" t="s">
        <v>67</v>
      </c>
      <c r="E201" s="52" t="s">
        <v>67</v>
      </c>
      <c r="F201" s="52" t="s">
        <v>67</v>
      </c>
      <c r="G201" s="52" t="s">
        <v>67</v>
      </c>
      <c r="H201" s="52" t="s">
        <v>67</v>
      </c>
      <c r="I201" s="52">
        <f>N201</f>
        <v>0</v>
      </c>
      <c r="N201" s="160">
        <f>ROUND(SUM(I171:I180,I190,I194),6)</f>
        <v>0</v>
      </c>
      <c r="O201" s="160">
        <f>ROUND(+E181+E184+E187+E191+E198+E195,3)</f>
        <v>0</v>
      </c>
      <c r="P201" s="79">
        <f>Q201*O201</f>
        <v>0</v>
      </c>
      <c r="Q201" s="79">
        <f>IFERROR(ROUND((N201+N202)/O201,6),0)</f>
        <v>0</v>
      </c>
      <c r="R201" s="79">
        <f>ROUND(Q201*O201*1.2,2)</f>
        <v>0</v>
      </c>
    </row>
    <row r="202" spans="1:18" ht="15" customHeight="1" x14ac:dyDescent="0.25">
      <c r="A202" s="209"/>
      <c r="B202" s="210"/>
      <c r="C202" s="109" t="s">
        <v>168</v>
      </c>
      <c r="D202" s="89" t="s">
        <v>249</v>
      </c>
      <c r="E202" s="168">
        <f>O201</f>
        <v>0</v>
      </c>
      <c r="F202" s="52" t="s">
        <v>67</v>
      </c>
      <c r="G202" s="52" t="s">
        <v>67</v>
      </c>
      <c r="H202" s="52" t="s">
        <v>67</v>
      </c>
      <c r="I202" s="52">
        <f>N202</f>
        <v>0</v>
      </c>
      <c r="N202" s="160">
        <f>ROUND(I183+I186+I189+I193+I200+I197,6)</f>
        <v>0</v>
      </c>
    </row>
    <row r="203" spans="1:18" ht="15" customHeight="1" x14ac:dyDescent="0.25">
      <c r="A203" s="200" t="s">
        <v>66</v>
      </c>
      <c r="B203" s="200" t="s">
        <v>173</v>
      </c>
      <c r="C203" s="84" t="s">
        <v>203</v>
      </c>
      <c r="D203" s="128"/>
      <c r="E203" s="153"/>
      <c r="F203" s="39"/>
      <c r="G203" s="39"/>
      <c r="H203" s="35">
        <f t="shared" ref="H203:H211" si="64">+G203-F203</f>
        <v>0</v>
      </c>
      <c r="I203" s="50">
        <f t="shared" ref="I203:I211" si="65">+ROUND(IF(H203&gt;0,H203*E203,0),4)</f>
        <v>0</v>
      </c>
    </row>
    <row r="204" spans="1:18" ht="15" customHeight="1" x14ac:dyDescent="0.25">
      <c r="A204" s="200"/>
      <c r="B204" s="200"/>
      <c r="C204" s="84" t="s">
        <v>204</v>
      </c>
      <c r="D204" s="128"/>
      <c r="E204" s="153"/>
      <c r="F204" s="39"/>
      <c r="G204" s="39"/>
      <c r="H204" s="35">
        <f t="shared" si="64"/>
        <v>0</v>
      </c>
      <c r="I204" s="50">
        <f t="shared" si="65"/>
        <v>0</v>
      </c>
    </row>
    <row r="205" spans="1:18" x14ac:dyDescent="0.25">
      <c r="A205" s="200"/>
      <c r="B205" s="200"/>
      <c r="C205" s="84" t="s">
        <v>205</v>
      </c>
      <c r="D205" s="128"/>
      <c r="E205" s="153"/>
      <c r="F205" s="39"/>
      <c r="G205" s="39"/>
      <c r="H205" s="35">
        <f t="shared" si="64"/>
        <v>0</v>
      </c>
      <c r="I205" s="50">
        <f t="shared" si="65"/>
        <v>0</v>
      </c>
    </row>
    <row r="206" spans="1:18" ht="24" x14ac:dyDescent="0.25">
      <c r="A206" s="200"/>
      <c r="B206" s="200"/>
      <c r="C206" s="84" t="s">
        <v>213</v>
      </c>
      <c r="D206" s="128"/>
      <c r="E206" s="153"/>
      <c r="F206" s="39"/>
      <c r="G206" s="39"/>
      <c r="H206" s="35">
        <f t="shared" si="64"/>
        <v>0</v>
      </c>
      <c r="I206" s="50">
        <f t="shared" si="65"/>
        <v>0</v>
      </c>
    </row>
    <row r="207" spans="1:18" ht="24" x14ac:dyDescent="0.25">
      <c r="A207" s="200"/>
      <c r="B207" s="200"/>
      <c r="C207" s="84" t="s">
        <v>214</v>
      </c>
      <c r="D207" s="128"/>
      <c r="E207" s="153"/>
      <c r="F207" s="39"/>
      <c r="G207" s="39"/>
      <c r="H207" s="35">
        <f t="shared" si="64"/>
        <v>0</v>
      </c>
      <c r="I207" s="50">
        <f t="shared" si="65"/>
        <v>0</v>
      </c>
    </row>
    <row r="208" spans="1:18" ht="24" x14ac:dyDescent="0.25">
      <c r="A208" s="200"/>
      <c r="B208" s="200"/>
      <c r="C208" s="84" t="s">
        <v>215</v>
      </c>
      <c r="D208" s="128"/>
      <c r="E208" s="153"/>
      <c r="F208" s="39"/>
      <c r="G208" s="39"/>
      <c r="H208" s="35">
        <f t="shared" si="64"/>
        <v>0</v>
      </c>
      <c r="I208" s="50">
        <f t="shared" si="65"/>
        <v>0</v>
      </c>
    </row>
    <row r="209" spans="1:18" x14ac:dyDescent="0.25">
      <c r="A209" s="200"/>
      <c r="B209" s="200"/>
      <c r="C209" s="84" t="s">
        <v>217</v>
      </c>
      <c r="D209" s="128"/>
      <c r="E209" s="153"/>
      <c r="F209" s="39"/>
      <c r="G209" s="39"/>
      <c r="H209" s="35">
        <f t="shared" si="64"/>
        <v>0</v>
      </c>
      <c r="I209" s="50">
        <f t="shared" si="65"/>
        <v>0</v>
      </c>
    </row>
    <row r="210" spans="1:18" x14ac:dyDescent="0.25">
      <c r="A210" s="200"/>
      <c r="B210" s="200"/>
      <c r="C210" s="84" t="s">
        <v>218</v>
      </c>
      <c r="D210" s="128"/>
      <c r="E210" s="153"/>
      <c r="F210" s="39"/>
      <c r="G210" s="39"/>
      <c r="H210" s="35">
        <f t="shared" si="64"/>
        <v>0</v>
      </c>
      <c r="I210" s="50">
        <f t="shared" si="65"/>
        <v>0</v>
      </c>
    </row>
    <row r="211" spans="1:18" x14ac:dyDescent="0.25">
      <c r="A211" s="200"/>
      <c r="B211" s="200"/>
      <c r="C211" s="84" t="s">
        <v>216</v>
      </c>
      <c r="D211" s="128"/>
      <c r="E211" s="153"/>
      <c r="F211" s="39"/>
      <c r="G211" s="39"/>
      <c r="H211" s="35">
        <f t="shared" si="64"/>
        <v>0</v>
      </c>
      <c r="I211" s="50">
        <f t="shared" si="65"/>
        <v>0</v>
      </c>
    </row>
    <row r="212" spans="1:18" x14ac:dyDescent="0.25">
      <c r="A212" s="200"/>
      <c r="B212" s="200"/>
      <c r="C212" s="81" t="s">
        <v>163</v>
      </c>
      <c r="D212" s="200" t="s">
        <v>249</v>
      </c>
      <c r="E212" s="201"/>
      <c r="F212" s="39"/>
      <c r="G212" s="39"/>
      <c r="H212" s="35" t="s">
        <v>67</v>
      </c>
      <c r="I212" s="35" t="s">
        <v>67</v>
      </c>
    </row>
    <row r="213" spans="1:18" x14ac:dyDescent="0.25">
      <c r="A213" s="200"/>
      <c r="B213" s="200"/>
      <c r="C213" s="81" t="s">
        <v>164</v>
      </c>
      <c r="D213" s="200"/>
      <c r="E213" s="201"/>
      <c r="F213" s="39"/>
      <c r="G213" s="39"/>
      <c r="H213" s="35" t="s">
        <v>67</v>
      </c>
      <c r="I213" s="35" t="s">
        <v>67</v>
      </c>
    </row>
    <row r="214" spans="1:18" x14ac:dyDescent="0.25">
      <c r="A214" s="200"/>
      <c r="B214" s="200"/>
      <c r="C214" s="81" t="s">
        <v>168</v>
      </c>
      <c r="D214" s="200"/>
      <c r="E214" s="201"/>
      <c r="F214" s="35">
        <f>+F212+F213</f>
        <v>0</v>
      </c>
      <c r="G214" s="35">
        <f t="shared" ref="G214" si="66">+G212+G213</f>
        <v>0</v>
      </c>
      <c r="H214" s="35">
        <f>+G214-F214</f>
        <v>0</v>
      </c>
      <c r="I214" s="50">
        <f>+ROUND(IF(H214&gt;0,H214*E212,0),4)</f>
        <v>0</v>
      </c>
    </row>
    <row r="215" spans="1:18" x14ac:dyDescent="0.25">
      <c r="A215" s="200"/>
      <c r="B215" s="200"/>
      <c r="C215" s="81" t="s">
        <v>184</v>
      </c>
      <c r="D215" s="200" t="s">
        <v>249</v>
      </c>
      <c r="E215" s="201"/>
      <c r="F215" s="39"/>
      <c r="G215" s="39"/>
      <c r="H215" s="35" t="s">
        <v>67</v>
      </c>
      <c r="I215" s="35" t="s">
        <v>67</v>
      </c>
    </row>
    <row r="216" spans="1:18" x14ac:dyDescent="0.25">
      <c r="A216" s="200"/>
      <c r="B216" s="200"/>
      <c r="C216" s="81" t="s">
        <v>164</v>
      </c>
      <c r="D216" s="200"/>
      <c r="E216" s="201"/>
      <c r="F216" s="39"/>
      <c r="G216" s="39"/>
      <c r="H216" s="35" t="s">
        <v>67</v>
      </c>
      <c r="I216" s="35" t="s">
        <v>67</v>
      </c>
    </row>
    <row r="217" spans="1:18" x14ac:dyDescent="0.25">
      <c r="A217" s="200"/>
      <c r="B217" s="200"/>
      <c r="C217" s="84" t="s">
        <v>219</v>
      </c>
      <c r="D217" s="200"/>
      <c r="E217" s="201"/>
      <c r="F217" s="35">
        <f>+F215+F216</f>
        <v>0</v>
      </c>
      <c r="G217" s="35">
        <f t="shared" ref="G217" si="67">+G215+G216</f>
        <v>0</v>
      </c>
      <c r="H217" s="35">
        <f>+G217-F217</f>
        <v>0</v>
      </c>
      <c r="I217" s="50">
        <f>+ROUND(IF(H217&gt;0,H217*E215,0),4)</f>
        <v>0</v>
      </c>
    </row>
    <row r="218" spans="1:18" x14ac:dyDescent="0.25">
      <c r="A218" s="200"/>
      <c r="B218" s="200"/>
      <c r="C218" s="81" t="s">
        <v>185</v>
      </c>
      <c r="D218" s="200" t="s">
        <v>249</v>
      </c>
      <c r="E218" s="201"/>
      <c r="F218" s="39"/>
      <c r="G218" s="39"/>
      <c r="H218" s="35" t="s">
        <v>67</v>
      </c>
      <c r="I218" s="35" t="s">
        <v>67</v>
      </c>
    </row>
    <row r="219" spans="1:18" x14ac:dyDescent="0.25">
      <c r="A219" s="200"/>
      <c r="B219" s="200"/>
      <c r="C219" s="81" t="s">
        <v>164</v>
      </c>
      <c r="D219" s="200"/>
      <c r="E219" s="201"/>
      <c r="F219" s="39"/>
      <c r="G219" s="39"/>
      <c r="H219" s="35" t="s">
        <v>67</v>
      </c>
      <c r="I219" s="35" t="s">
        <v>67</v>
      </c>
    </row>
    <row r="220" spans="1:18" x14ac:dyDescent="0.25">
      <c r="A220" s="200"/>
      <c r="B220" s="200"/>
      <c r="C220" s="84" t="s">
        <v>220</v>
      </c>
      <c r="D220" s="200"/>
      <c r="E220" s="201"/>
      <c r="F220" s="35">
        <f>+F218+F219</f>
        <v>0</v>
      </c>
      <c r="G220" s="35">
        <f t="shared" ref="G220" si="68">+G218+G219</f>
        <v>0</v>
      </c>
      <c r="H220" s="35">
        <f>+G220-F220</f>
        <v>0</v>
      </c>
      <c r="I220" s="50">
        <f>+ROUND(IF(H220&gt;0,H220*E218,0),4)</f>
        <v>0</v>
      </c>
      <c r="N220" s="79" t="s">
        <v>285</v>
      </c>
      <c r="O220" s="79" t="s">
        <v>287</v>
      </c>
      <c r="P220" s="79" t="s">
        <v>283</v>
      </c>
      <c r="Q220" s="79" t="s">
        <v>289</v>
      </c>
      <c r="R220" s="79" t="s">
        <v>284</v>
      </c>
    </row>
    <row r="221" spans="1:18" x14ac:dyDescent="0.25">
      <c r="A221" s="209" t="s">
        <v>66</v>
      </c>
      <c r="B221" s="210" t="s">
        <v>188</v>
      </c>
      <c r="C221" s="109" t="s">
        <v>162</v>
      </c>
      <c r="D221" s="121" t="s">
        <v>67</v>
      </c>
      <c r="E221" s="52" t="s">
        <v>67</v>
      </c>
      <c r="F221" s="52" t="s">
        <v>67</v>
      </c>
      <c r="G221" s="52" t="s">
        <v>67</v>
      </c>
      <c r="H221" s="52" t="s">
        <v>67</v>
      </c>
      <c r="I221" s="96">
        <f>N221</f>
        <v>0</v>
      </c>
      <c r="N221" s="160">
        <f>ROUND(+SUM(I203:I211),6)</f>
        <v>0</v>
      </c>
      <c r="O221" s="160">
        <f>ROUND(+E212+E215+E218,3)</f>
        <v>0</v>
      </c>
      <c r="P221" s="79">
        <f>Q221*O221</f>
        <v>0</v>
      </c>
      <c r="Q221" s="79">
        <f>IFERROR(ROUND((N221+N222)/O221,6),0)</f>
        <v>0</v>
      </c>
      <c r="R221" s="79">
        <f>ROUND(Q221*O221*1.2,2)</f>
        <v>0</v>
      </c>
    </row>
    <row r="222" spans="1:18" ht="15.75" thickBot="1" x14ac:dyDescent="0.3">
      <c r="A222" s="209"/>
      <c r="B222" s="210"/>
      <c r="C222" s="110" t="s">
        <v>168</v>
      </c>
      <c r="D222" s="90" t="s">
        <v>249</v>
      </c>
      <c r="E222" s="169">
        <f>O221</f>
        <v>0</v>
      </c>
      <c r="F222" s="95" t="s">
        <v>67</v>
      </c>
      <c r="G222" s="95" t="s">
        <v>67</v>
      </c>
      <c r="H222" s="95" t="s">
        <v>67</v>
      </c>
      <c r="I222" s="97">
        <f>N222</f>
        <v>0</v>
      </c>
      <c r="N222" s="160">
        <f>ROUND(+I214+I217+I220,6)</f>
        <v>0</v>
      </c>
    </row>
    <row r="223" spans="1:18" ht="15.75" thickBot="1" x14ac:dyDescent="0.3">
      <c r="A223" s="78"/>
      <c r="B223" s="105"/>
      <c r="C223" s="86" t="s">
        <v>258</v>
      </c>
      <c r="D223" s="91"/>
      <c r="E223" s="123" t="s">
        <v>67</v>
      </c>
      <c r="F223" s="123" t="s">
        <v>67</v>
      </c>
      <c r="G223" s="123" t="s">
        <v>67</v>
      </c>
      <c r="H223" s="55" t="s">
        <v>67</v>
      </c>
      <c r="I223" s="56">
        <f>H228*H229</f>
        <v>0</v>
      </c>
      <c r="N223" s="160">
        <f>(SUM(I77:I78,I169:I170,I201:I202,I221:I222))</f>
        <v>0</v>
      </c>
    </row>
    <row r="224" spans="1:18" ht="15.75" thickBot="1" x14ac:dyDescent="0.3">
      <c r="A224" s="78"/>
      <c r="B224" s="105"/>
      <c r="C224" s="87" t="s">
        <v>68</v>
      </c>
      <c r="D224" s="92"/>
      <c r="E224" s="124" t="s">
        <v>67</v>
      </c>
      <c r="F224" s="124" t="s">
        <v>67</v>
      </c>
      <c r="G224" s="124" t="s">
        <v>67</v>
      </c>
      <c r="H224" s="53" t="s">
        <v>67</v>
      </c>
      <c r="I224" s="54">
        <f>N224</f>
        <v>0</v>
      </c>
      <c r="N224" s="161">
        <f>I225-I223</f>
        <v>0</v>
      </c>
      <c r="O224" s="79" t="s">
        <v>290</v>
      </c>
      <c r="P224" s="79" t="s">
        <v>291</v>
      </c>
    </row>
    <row r="225" spans="1:16" ht="16.5" thickBot="1" x14ac:dyDescent="0.3">
      <c r="A225" s="78"/>
      <c r="B225" s="105"/>
      <c r="C225" s="88" t="s">
        <v>69</v>
      </c>
      <c r="D225" s="93"/>
      <c r="E225" s="125" t="s">
        <v>67</v>
      </c>
      <c r="F225" s="125" t="s">
        <v>67</v>
      </c>
      <c r="G225" s="125" t="s">
        <v>67</v>
      </c>
      <c r="H225" s="59" t="s">
        <v>67</v>
      </c>
      <c r="I225" s="60">
        <f>N225</f>
        <v>0</v>
      </c>
      <c r="N225" s="79">
        <f>+ROUND(I223*1.2,2)</f>
        <v>0</v>
      </c>
      <c r="O225" s="79">
        <f>R221+R201+R169+R77</f>
        <v>0</v>
      </c>
      <c r="P225" s="176">
        <f>O225-I225</f>
        <v>0</v>
      </c>
    </row>
    <row r="226" spans="1:16" ht="19.5" thickBot="1" x14ac:dyDescent="0.3">
      <c r="A226" s="79"/>
      <c r="B226" s="114"/>
      <c r="C226" s="115"/>
      <c r="D226" s="106"/>
      <c r="E226" s="79"/>
      <c r="F226" s="79"/>
      <c r="G226" s="79"/>
      <c r="H226" s="79"/>
      <c r="I226" s="79"/>
      <c r="J226" s="80"/>
      <c r="K226" s="80"/>
      <c r="L226" s="174">
        <f>P221+P201+P169+P77</f>
        <v>0</v>
      </c>
    </row>
    <row r="227" spans="1:16" s="80" customFormat="1" ht="34.5" customHeight="1" x14ac:dyDescent="0.25">
      <c r="B227" s="149"/>
      <c r="C227" s="139"/>
      <c r="D227" s="212" t="s">
        <v>263</v>
      </c>
      <c r="E227" s="212"/>
      <c r="F227" s="212"/>
      <c r="G227" s="213"/>
      <c r="H227" s="100">
        <f>ROUND((N229*O228*(-1)),2)</f>
        <v>0</v>
      </c>
      <c r="I227" s="101" t="s">
        <v>57</v>
      </c>
      <c r="J227" s="140"/>
      <c r="L227" s="175" t="e">
        <f>168579.2/H228</f>
        <v>#DIV/0!</v>
      </c>
      <c r="O227" s="80" t="s">
        <v>292</v>
      </c>
    </row>
    <row r="228" spans="1:16" s="80" customFormat="1" ht="38.25" customHeight="1" x14ac:dyDescent="0.25">
      <c r="B228" s="149"/>
      <c r="C228" s="139"/>
      <c r="D228" s="214" t="s">
        <v>239</v>
      </c>
      <c r="E228" s="214"/>
      <c r="F228" s="214"/>
      <c r="G228" s="215"/>
      <c r="H228" s="167">
        <f>N228</f>
        <v>0</v>
      </c>
      <c r="I228" s="102" t="s">
        <v>240</v>
      </c>
      <c r="N228" s="172">
        <f>ROUND((O221+O201+O169+O77),3)</f>
        <v>0</v>
      </c>
      <c r="O228" s="175">
        <f>O221+O201+O169+O77</f>
        <v>0</v>
      </c>
    </row>
    <row r="229" spans="1:16" s="80" customFormat="1" ht="45.75" customHeight="1" thickBot="1" x14ac:dyDescent="0.3">
      <c r="B229" s="149"/>
      <c r="C229" s="139"/>
      <c r="D229" s="216" t="s">
        <v>280</v>
      </c>
      <c r="E229" s="216"/>
      <c r="F229" s="216"/>
      <c r="G229" s="217"/>
      <c r="H229" s="103">
        <f>N229</f>
        <v>0</v>
      </c>
      <c r="I229" s="104" t="s">
        <v>241</v>
      </c>
      <c r="J229" s="79"/>
      <c r="K229" s="162"/>
      <c r="N229" s="175">
        <f>IFERROR(ROUND(L226/O228,6),0)</f>
        <v>0</v>
      </c>
    </row>
    <row r="230" spans="1:16" x14ac:dyDescent="0.25">
      <c r="A230" s="79"/>
      <c r="B230" s="114"/>
      <c r="C230" s="115"/>
      <c r="D230" s="106"/>
      <c r="E230" s="79"/>
      <c r="F230" s="79"/>
      <c r="G230" s="79"/>
      <c r="H230" s="79"/>
      <c r="I230" s="79"/>
    </row>
    <row r="231" spans="1:16" x14ac:dyDescent="0.25">
      <c r="A231" s="112" t="s">
        <v>221</v>
      </c>
      <c r="B231" s="114"/>
      <c r="C231" s="115"/>
      <c r="D231" s="106"/>
      <c r="E231" s="79"/>
      <c r="F231" s="79"/>
      <c r="G231" s="79"/>
      <c r="H231" s="79"/>
      <c r="I231" s="79"/>
    </row>
    <row r="232" spans="1:16" x14ac:dyDescent="0.25">
      <c r="A232" s="224" t="s">
        <v>256</v>
      </c>
      <c r="B232" s="224"/>
      <c r="C232" s="224"/>
      <c r="D232" s="224"/>
      <c r="E232" s="224"/>
      <c r="F232" s="224"/>
      <c r="G232" s="224"/>
      <c r="H232" s="224"/>
      <c r="I232" s="224"/>
    </row>
    <row r="233" spans="1:16" x14ac:dyDescent="0.25">
      <c r="A233" s="224" t="s">
        <v>251</v>
      </c>
      <c r="B233" s="224"/>
      <c r="C233" s="224"/>
      <c r="D233" s="224"/>
      <c r="E233" s="224"/>
      <c r="F233" s="224"/>
      <c r="G233" s="224"/>
      <c r="H233" s="224"/>
      <c r="I233" s="224"/>
    </row>
    <row r="234" spans="1:16" ht="15" customHeight="1" x14ac:dyDescent="0.25">
      <c r="A234" s="225" t="s">
        <v>252</v>
      </c>
      <c r="B234" s="225"/>
      <c r="C234" s="225"/>
      <c r="D234" s="225"/>
      <c r="E234" s="225"/>
      <c r="F234" s="225"/>
      <c r="G234" s="225"/>
      <c r="H234" s="225"/>
      <c r="I234" s="225"/>
    </row>
    <row r="235" spans="1:16" x14ac:dyDescent="0.25">
      <c r="A235" s="224" t="s">
        <v>248</v>
      </c>
      <c r="B235" s="224"/>
      <c r="C235" s="224"/>
      <c r="D235" s="224"/>
      <c r="E235" s="224"/>
      <c r="F235" s="224"/>
      <c r="G235" s="224"/>
      <c r="H235" s="224"/>
      <c r="I235" s="224"/>
    </row>
    <row r="236" spans="1:16" x14ac:dyDescent="0.25">
      <c r="A236" s="224" t="s">
        <v>293</v>
      </c>
      <c r="B236" s="224"/>
      <c r="C236" s="224"/>
      <c r="D236" s="224"/>
      <c r="E236" s="224"/>
      <c r="F236" s="224"/>
      <c r="G236" s="224"/>
      <c r="H236" s="224"/>
      <c r="I236" s="224"/>
    </row>
    <row r="237" spans="1:16" x14ac:dyDescent="0.25">
      <c r="A237" s="224" t="s">
        <v>253</v>
      </c>
      <c r="B237" s="224"/>
      <c r="C237" s="224"/>
      <c r="D237" s="224"/>
      <c r="E237" s="224"/>
      <c r="F237" s="224"/>
      <c r="G237" s="224"/>
      <c r="H237" s="224"/>
      <c r="I237" s="224"/>
    </row>
    <row r="238" spans="1:16" x14ac:dyDescent="0.25">
      <c r="A238" s="224" t="s">
        <v>254</v>
      </c>
      <c r="B238" s="224"/>
      <c r="C238" s="224"/>
      <c r="D238" s="224"/>
      <c r="E238" s="224"/>
      <c r="F238" s="224"/>
      <c r="G238" s="224"/>
      <c r="H238" s="224"/>
      <c r="I238" s="224"/>
    </row>
    <row r="239" spans="1:16" x14ac:dyDescent="0.25">
      <c r="A239" s="112" t="s">
        <v>255</v>
      </c>
      <c r="B239" s="106"/>
      <c r="C239" s="113"/>
      <c r="D239" s="106"/>
      <c r="E239" s="79"/>
      <c r="F239" s="79"/>
      <c r="G239" s="79"/>
      <c r="H239" s="79"/>
      <c r="I239" s="79"/>
    </row>
    <row r="240" spans="1:16" x14ac:dyDescent="0.25">
      <c r="A240" s="116" t="s">
        <v>257</v>
      </c>
      <c r="B240" s="106"/>
      <c r="C240" s="113"/>
      <c r="D240" s="106"/>
      <c r="E240" s="79"/>
      <c r="F240" s="79"/>
      <c r="G240" s="79"/>
      <c r="H240" s="79"/>
      <c r="I240" s="79"/>
    </row>
    <row r="241" spans="1:9" x14ac:dyDescent="0.25">
      <c r="A241" s="79"/>
      <c r="B241" s="106"/>
      <c r="C241" s="113"/>
      <c r="D241" s="106"/>
      <c r="E241" s="79"/>
      <c r="F241" s="79"/>
      <c r="G241" s="79"/>
      <c r="H241" s="79"/>
      <c r="I241" s="79"/>
    </row>
  </sheetData>
  <sheetProtection algorithmName="SHA-512" hashValue="UfGA2f/S4jKP9oeHz7SmAzmamdNj7ipIo/C6/XwqnURnyidGY1eB+ahKJoLeDlAQjOcVxzadr1c3N8xGB00G5w==" saltValue="Y+lH+69JHboqkqDHyk1qjw==" spinCount="100000" sheet="1" selectLockedCells="1"/>
  <mergeCells count="179">
    <mergeCell ref="E163:E165"/>
    <mergeCell ref="D227:G227"/>
    <mergeCell ref="A64:A76"/>
    <mergeCell ref="B64:B76"/>
    <mergeCell ref="D228:G228"/>
    <mergeCell ref="D229:G229"/>
    <mergeCell ref="A141:A146"/>
    <mergeCell ref="B141:B146"/>
    <mergeCell ref="A238:I238"/>
    <mergeCell ref="A232:I232"/>
    <mergeCell ref="A233:I233"/>
    <mergeCell ref="A234:I234"/>
    <mergeCell ref="A235:I235"/>
    <mergeCell ref="A236:I236"/>
    <mergeCell ref="A237:I237"/>
    <mergeCell ref="A194:A197"/>
    <mergeCell ref="B194:B197"/>
    <mergeCell ref="D195:D197"/>
    <mergeCell ref="E195:E197"/>
    <mergeCell ref="A155:A168"/>
    <mergeCell ref="B155:B168"/>
    <mergeCell ref="D157:D159"/>
    <mergeCell ref="E157:E159"/>
    <mergeCell ref="D160:D162"/>
    <mergeCell ref="E160:E162"/>
    <mergeCell ref="D163:D165"/>
    <mergeCell ref="A201:A202"/>
    <mergeCell ref="B201:B202"/>
    <mergeCell ref="A36:A42"/>
    <mergeCell ref="B36:B42"/>
    <mergeCell ref="A79:A83"/>
    <mergeCell ref="B79:B83"/>
    <mergeCell ref="D81:D83"/>
    <mergeCell ref="E81:E83"/>
    <mergeCell ref="A89:A93"/>
    <mergeCell ref="B89:B93"/>
    <mergeCell ref="D91:D93"/>
    <mergeCell ref="E91:E93"/>
    <mergeCell ref="A84:A88"/>
    <mergeCell ref="B84:B88"/>
    <mergeCell ref="D86:D88"/>
    <mergeCell ref="E86:E88"/>
    <mergeCell ref="A43:A49"/>
    <mergeCell ref="B43:B49"/>
    <mergeCell ref="D44:D46"/>
    <mergeCell ref="E44:E46"/>
    <mergeCell ref="D47:D49"/>
    <mergeCell ref="E47:E49"/>
    <mergeCell ref="A77:A78"/>
    <mergeCell ref="B77:B78"/>
    <mergeCell ref="A147:A154"/>
    <mergeCell ref="B147:B154"/>
    <mergeCell ref="E115:E117"/>
    <mergeCell ref="B134:B135"/>
    <mergeCell ref="A221:A222"/>
    <mergeCell ref="B221:B222"/>
    <mergeCell ref="D198:D200"/>
    <mergeCell ref="E198:E200"/>
    <mergeCell ref="A171:A189"/>
    <mergeCell ref="B171:B189"/>
    <mergeCell ref="D181:D183"/>
    <mergeCell ref="E181:E183"/>
    <mergeCell ref="D184:D186"/>
    <mergeCell ref="E184:E186"/>
    <mergeCell ref="D187:D189"/>
    <mergeCell ref="E187:E189"/>
    <mergeCell ref="A198:A200"/>
    <mergeCell ref="B198:B200"/>
    <mergeCell ref="D138:D140"/>
    <mergeCell ref="E138:E140"/>
    <mergeCell ref="D144:D146"/>
    <mergeCell ref="E144:E146"/>
    <mergeCell ref="A169:A170"/>
    <mergeCell ref="E120:E122"/>
    <mergeCell ref="D54:D56"/>
    <mergeCell ref="E54:E56"/>
    <mergeCell ref="D96:D98"/>
    <mergeCell ref="E96:E98"/>
    <mergeCell ref="A190:A193"/>
    <mergeCell ref="B190:B193"/>
    <mergeCell ref="D191:D193"/>
    <mergeCell ref="E191:E193"/>
    <mergeCell ref="B169:B170"/>
    <mergeCell ref="D99:D101"/>
    <mergeCell ref="E99:E101"/>
    <mergeCell ref="A94:A101"/>
    <mergeCell ref="B94:B101"/>
    <mergeCell ref="D123:D125"/>
    <mergeCell ref="E123:E125"/>
    <mergeCell ref="A110:A117"/>
    <mergeCell ref="B110:B117"/>
    <mergeCell ref="D112:D114"/>
    <mergeCell ref="E112:E114"/>
    <mergeCell ref="D115:D117"/>
    <mergeCell ref="D166:D168"/>
    <mergeCell ref="E166:E168"/>
    <mergeCell ref="A134:A135"/>
    <mergeCell ref="A136:A140"/>
    <mergeCell ref="A9:A13"/>
    <mergeCell ref="B9:B13"/>
    <mergeCell ref="D11:D13"/>
    <mergeCell ref="E11:E13"/>
    <mergeCell ref="A14:A20"/>
    <mergeCell ref="B14:B20"/>
    <mergeCell ref="D15:D17"/>
    <mergeCell ref="E15:E17"/>
    <mergeCell ref="D18:D20"/>
    <mergeCell ref="E18:E20"/>
    <mergeCell ref="E40:E42"/>
    <mergeCell ref="A21:A28"/>
    <mergeCell ref="B21:B28"/>
    <mergeCell ref="D23:D25"/>
    <mergeCell ref="E23:E25"/>
    <mergeCell ref="D26:D28"/>
    <mergeCell ref="E26:E28"/>
    <mergeCell ref="A50:A56"/>
    <mergeCell ref="B50:B56"/>
    <mergeCell ref="D71:D73"/>
    <mergeCell ref="E71:E73"/>
    <mergeCell ref="D74:D76"/>
    <mergeCell ref="A203:A220"/>
    <mergeCell ref="B203:B220"/>
    <mergeCell ref="D212:D214"/>
    <mergeCell ref="E212:E214"/>
    <mergeCell ref="D215:D217"/>
    <mergeCell ref="E215:E217"/>
    <mergeCell ref="D218:D220"/>
    <mergeCell ref="E218:E220"/>
    <mergeCell ref="E30:E32"/>
    <mergeCell ref="D33:D35"/>
    <mergeCell ref="E33:E35"/>
    <mergeCell ref="A102:A109"/>
    <mergeCell ref="B102:B109"/>
    <mergeCell ref="D104:D106"/>
    <mergeCell ref="E104:E106"/>
    <mergeCell ref="D107:D109"/>
    <mergeCell ref="E107:E109"/>
    <mergeCell ref="D120:D122"/>
    <mergeCell ref="A29:A35"/>
    <mergeCell ref="B29:B35"/>
    <mergeCell ref="D30:D32"/>
    <mergeCell ref="D37:D39"/>
    <mergeCell ref="E37:E39"/>
    <mergeCell ref="D40:D42"/>
    <mergeCell ref="D68:D70"/>
    <mergeCell ref="E68:E70"/>
    <mergeCell ref="A1:I1"/>
    <mergeCell ref="A2:A4"/>
    <mergeCell ref="B2:B4"/>
    <mergeCell ref="C2:C4"/>
    <mergeCell ref="D2:D4"/>
    <mergeCell ref="A5:A8"/>
    <mergeCell ref="B5:B8"/>
    <mergeCell ref="D6:D8"/>
    <mergeCell ref="E6:E8"/>
    <mergeCell ref="A118:A125"/>
    <mergeCell ref="B118:B125"/>
    <mergeCell ref="D51:D53"/>
    <mergeCell ref="E51:E53"/>
    <mergeCell ref="D149:D151"/>
    <mergeCell ref="E149:E151"/>
    <mergeCell ref="D152:D154"/>
    <mergeCell ref="E152:E154"/>
    <mergeCell ref="B136:B140"/>
    <mergeCell ref="A57:A63"/>
    <mergeCell ref="B57:B63"/>
    <mergeCell ref="D58:D60"/>
    <mergeCell ref="E58:E60"/>
    <mergeCell ref="D61:D63"/>
    <mergeCell ref="E61:E63"/>
    <mergeCell ref="E74:E76"/>
    <mergeCell ref="A126:A133"/>
    <mergeCell ref="B126:B133"/>
    <mergeCell ref="D128:D130"/>
    <mergeCell ref="E128:E130"/>
    <mergeCell ref="D131:D133"/>
    <mergeCell ref="E131:E133"/>
    <mergeCell ref="D65:D67"/>
    <mergeCell ref="E65:E67"/>
  </mergeCells>
  <dataValidations disablePrompts="1" count="3">
    <dataValidation type="textLength" allowBlank="1" showInputMessage="1" showErrorMessage="1" sqref="J2">
      <formula1>16</formula1>
      <formula2>16</formula2>
    </dataValidation>
    <dataValidation allowBlank="1" showInputMessage="1" showErrorMessage="1" promptTitle="URSO 22 " prompt="Zadajte prosím link na rozhodnutie URSO  na základe ktorého žiadate o kompenzáciu" sqref="K2"/>
    <dataValidation allowBlank="1" showInputMessage="1" showErrorMessage="1" promptTitle="URSO 24" prompt="Zadajte prosím link na rozhodnutie URSO  na základe ktorého žiadate o kompenzáciu" sqref="K3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7" fitToHeight="0" orientation="landscape" r:id="rId1"/>
  <headerFooter>
    <oddFooter>&amp;C&amp;P z &amp;N</oddFooter>
  </headerFooter>
  <rowBreaks count="5" manualBreakCount="5">
    <brk id="42" max="16383" man="1"/>
    <brk id="88" max="16383" man="1"/>
    <brk id="135" max="16383" man="1"/>
    <brk id="170" max="16383" man="1"/>
    <brk id="20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9"/>
  <sheetViews>
    <sheetView showGridLines="0" zoomScale="90" zoomScaleNormal="9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61" sqref="E61:E63"/>
    </sheetView>
  </sheetViews>
  <sheetFormatPr defaultColWidth="8.85546875" defaultRowHeight="15" x14ac:dyDescent="0.25"/>
  <cols>
    <col min="1" max="1" width="38.28515625" style="40" customWidth="1"/>
    <col min="2" max="2" width="9.140625" style="44" customWidth="1"/>
    <col min="3" max="3" width="53.85546875" style="41" customWidth="1"/>
    <col min="4" max="4" width="5.7109375" style="44" customWidth="1"/>
    <col min="5" max="5" width="28.5703125" style="40" customWidth="1"/>
    <col min="6" max="7" width="21.42578125" style="40" customWidth="1"/>
    <col min="8" max="8" width="34.7109375" style="40" customWidth="1"/>
    <col min="9" max="9" width="21.42578125" style="40" customWidth="1"/>
    <col min="10" max="10" width="33" style="40" bestFit="1" customWidth="1"/>
    <col min="11" max="11" width="18" style="40" bestFit="1" customWidth="1"/>
    <col min="12" max="12" width="8.85546875" style="40" hidden="1" customWidth="1"/>
    <col min="13" max="13" width="16.28515625" style="40" hidden="1" customWidth="1"/>
    <col min="14" max="14" width="16.140625" style="40" hidden="1" customWidth="1"/>
    <col min="15" max="17" width="18.42578125" style="40" hidden="1" customWidth="1"/>
    <col min="18" max="19" width="16.28515625" style="40" hidden="1" customWidth="1"/>
    <col min="20" max="21" width="8.85546875" style="40" customWidth="1"/>
    <col min="22" max="16384" width="8.85546875" style="40"/>
  </cols>
  <sheetData>
    <row r="1" spans="1:11" ht="55.5" customHeight="1" thickBot="1" x14ac:dyDescent="0.3">
      <c r="A1" s="235" t="s">
        <v>242</v>
      </c>
      <c r="B1" s="235"/>
      <c r="C1" s="235"/>
      <c r="D1" s="235"/>
      <c r="E1" s="235"/>
      <c r="F1" s="235"/>
      <c r="G1" s="235"/>
      <c r="H1" s="235"/>
      <c r="I1" s="235"/>
      <c r="J1" s="98" t="s">
        <v>259</v>
      </c>
      <c r="K1" s="98" t="s">
        <v>260</v>
      </c>
    </row>
    <row r="2" spans="1:11" ht="39" thickBot="1" x14ac:dyDescent="0.3">
      <c r="A2" s="204" t="s">
        <v>264</v>
      </c>
      <c r="B2" s="200" t="s">
        <v>170</v>
      </c>
      <c r="C2" s="200" t="s">
        <v>167</v>
      </c>
      <c r="D2" s="200" t="s">
        <v>234</v>
      </c>
      <c r="E2" s="33" t="s">
        <v>247</v>
      </c>
      <c r="F2" s="38" t="s">
        <v>243</v>
      </c>
      <c r="G2" s="38" t="s">
        <v>244</v>
      </c>
      <c r="H2" s="33" t="s">
        <v>245</v>
      </c>
      <c r="I2" s="33" t="s">
        <v>246</v>
      </c>
      <c r="J2" s="146"/>
      <c r="K2" s="145"/>
    </row>
    <row r="3" spans="1:11" ht="37.5" customHeight="1" thickBot="1" x14ac:dyDescent="0.3">
      <c r="A3" s="204"/>
      <c r="B3" s="200"/>
      <c r="C3" s="200"/>
      <c r="D3" s="200"/>
      <c r="E3" s="37" t="s">
        <v>206</v>
      </c>
      <c r="F3" s="34" t="s">
        <v>178</v>
      </c>
      <c r="G3" s="34" t="s">
        <v>178</v>
      </c>
      <c r="H3" s="34" t="s">
        <v>178</v>
      </c>
      <c r="I3" s="49" t="s">
        <v>57</v>
      </c>
      <c r="J3" s="99"/>
      <c r="K3" s="145"/>
    </row>
    <row r="4" spans="1:11" ht="12.75" customHeight="1" x14ac:dyDescent="0.25">
      <c r="A4" s="204"/>
      <c r="B4" s="200"/>
      <c r="C4" s="200"/>
      <c r="D4" s="200"/>
      <c r="E4" s="34" t="s">
        <v>58</v>
      </c>
      <c r="F4" s="34" t="s">
        <v>59</v>
      </c>
      <c r="G4" s="34" t="s">
        <v>60</v>
      </c>
      <c r="H4" s="34" t="s">
        <v>61</v>
      </c>
      <c r="I4" s="34" t="s">
        <v>62</v>
      </c>
      <c r="J4" s="41"/>
      <c r="K4" s="41"/>
    </row>
    <row r="5" spans="1:11" s="41" customFormat="1" ht="15" customHeight="1" x14ac:dyDescent="0.25">
      <c r="A5" s="199" t="s">
        <v>63</v>
      </c>
      <c r="B5" s="200" t="s">
        <v>169</v>
      </c>
      <c r="C5" s="81" t="s">
        <v>162</v>
      </c>
      <c r="D5" s="128"/>
      <c r="E5" s="170"/>
      <c r="F5" s="39"/>
      <c r="G5" s="39"/>
      <c r="H5" s="35">
        <f>+G5-F5</f>
        <v>0</v>
      </c>
      <c r="I5" s="50">
        <f>+ROUND(IF(H5&gt;0,H5*E5,0),4)</f>
        <v>0</v>
      </c>
      <c r="J5" s="40"/>
      <c r="K5" s="40"/>
    </row>
    <row r="6" spans="1:11" ht="15" customHeight="1" x14ac:dyDescent="0.25">
      <c r="A6" s="199"/>
      <c r="B6" s="200"/>
      <c r="C6" s="81" t="s">
        <v>163</v>
      </c>
      <c r="D6" s="200" t="s">
        <v>249</v>
      </c>
      <c r="E6" s="205"/>
      <c r="F6" s="39"/>
      <c r="G6" s="39"/>
      <c r="H6" s="35" t="s">
        <v>67</v>
      </c>
      <c r="I6" s="35" t="s">
        <v>67</v>
      </c>
    </row>
    <row r="7" spans="1:11" ht="15" customHeight="1" x14ac:dyDescent="0.25">
      <c r="A7" s="199"/>
      <c r="B7" s="200"/>
      <c r="C7" s="81" t="s">
        <v>164</v>
      </c>
      <c r="D7" s="200"/>
      <c r="E7" s="206"/>
      <c r="F7" s="39"/>
      <c r="G7" s="39"/>
      <c r="H7" s="35" t="s">
        <v>67</v>
      </c>
      <c r="I7" s="35" t="s">
        <v>67</v>
      </c>
    </row>
    <row r="8" spans="1:11" ht="15" customHeight="1" x14ac:dyDescent="0.25">
      <c r="A8" s="199"/>
      <c r="B8" s="200"/>
      <c r="C8" s="81" t="s">
        <v>168</v>
      </c>
      <c r="D8" s="200"/>
      <c r="E8" s="207"/>
      <c r="F8" s="35">
        <f>+F6+F7</f>
        <v>0</v>
      </c>
      <c r="G8" s="35">
        <f t="shared" ref="G8" si="0">+G6+G7</f>
        <v>0</v>
      </c>
      <c r="H8" s="35">
        <f>+G8-F8</f>
        <v>0</v>
      </c>
      <c r="I8" s="50">
        <f>+ROUND(IF(H8&gt;0,H8*E6,0),4)</f>
        <v>0</v>
      </c>
      <c r="J8" s="41"/>
      <c r="K8" s="41"/>
    </row>
    <row r="9" spans="1:11" s="41" customFormat="1" ht="15" customHeight="1" x14ac:dyDescent="0.25">
      <c r="A9" s="199" t="s">
        <v>63</v>
      </c>
      <c r="B9" s="200" t="s">
        <v>174</v>
      </c>
      <c r="C9" s="81" t="s">
        <v>162</v>
      </c>
      <c r="D9" s="128"/>
      <c r="E9" s="173"/>
      <c r="F9" s="39"/>
      <c r="G9" s="39"/>
      <c r="H9" s="35">
        <f>+G9-F9</f>
        <v>0</v>
      </c>
      <c r="I9" s="50">
        <f t="shared" ref="I9" si="1">+ROUND(IF(H9&gt;0,H9*E9,0),4)</f>
        <v>0</v>
      </c>
    </row>
    <row r="10" spans="1:11" s="41" customFormat="1" ht="15" customHeight="1" x14ac:dyDescent="0.25">
      <c r="A10" s="199"/>
      <c r="B10" s="200"/>
      <c r="C10" s="82" t="s">
        <v>222</v>
      </c>
      <c r="D10" s="128"/>
      <c r="E10" s="173"/>
      <c r="F10" s="39"/>
      <c r="G10" s="39"/>
      <c r="H10" s="35">
        <f>+G10-F10</f>
        <v>0</v>
      </c>
      <c r="I10" s="50">
        <f>+ROUND(IF(H10&gt;0,H10*E10,0),4)</f>
        <v>0</v>
      </c>
      <c r="J10" s="40"/>
      <c r="K10" s="40"/>
    </row>
    <row r="11" spans="1:11" ht="15" customHeight="1" x14ac:dyDescent="0.25">
      <c r="A11" s="199"/>
      <c r="B11" s="200"/>
      <c r="C11" s="81" t="s">
        <v>163</v>
      </c>
      <c r="D11" s="200" t="s">
        <v>249</v>
      </c>
      <c r="E11" s="201"/>
      <c r="F11" s="39"/>
      <c r="G11" s="39"/>
      <c r="H11" s="35" t="s">
        <v>67</v>
      </c>
      <c r="I11" s="35" t="s">
        <v>67</v>
      </c>
    </row>
    <row r="12" spans="1:11" ht="15" customHeight="1" x14ac:dyDescent="0.25">
      <c r="A12" s="199"/>
      <c r="B12" s="200"/>
      <c r="C12" s="81" t="s">
        <v>164</v>
      </c>
      <c r="D12" s="200"/>
      <c r="E12" s="201"/>
      <c r="F12" s="39"/>
      <c r="G12" s="39"/>
      <c r="H12" s="35" t="s">
        <v>67</v>
      </c>
      <c r="I12" s="35" t="s">
        <v>67</v>
      </c>
    </row>
    <row r="13" spans="1:11" ht="15" customHeight="1" x14ac:dyDescent="0.25">
      <c r="A13" s="199"/>
      <c r="B13" s="200"/>
      <c r="C13" s="81" t="s">
        <v>168</v>
      </c>
      <c r="D13" s="200"/>
      <c r="E13" s="201"/>
      <c r="F13" s="35">
        <f>+F11+F12</f>
        <v>0</v>
      </c>
      <c r="G13" s="35">
        <f t="shared" ref="G13" si="2">+G11+G12</f>
        <v>0</v>
      </c>
      <c r="H13" s="35">
        <f>+G13-F13</f>
        <v>0</v>
      </c>
      <c r="I13" s="50">
        <f>+ROUND(IF(H13&gt;0,H13*E11,0),4)</f>
        <v>0</v>
      </c>
      <c r="J13" s="41"/>
      <c r="K13" s="41"/>
    </row>
    <row r="14" spans="1:11" s="41" customFormat="1" ht="15" customHeight="1" x14ac:dyDescent="0.25">
      <c r="A14" s="199" t="s">
        <v>63</v>
      </c>
      <c r="B14" s="200" t="s">
        <v>175</v>
      </c>
      <c r="C14" s="81" t="s">
        <v>162</v>
      </c>
      <c r="D14" s="128"/>
      <c r="E14" s="170"/>
      <c r="F14" s="39"/>
      <c r="G14" s="39"/>
      <c r="H14" s="35">
        <f>+G14-F14</f>
        <v>0</v>
      </c>
      <c r="I14" s="50">
        <f t="shared" ref="I14" si="3">+ROUND(IF(H14&gt;0,H14*E14,0),4)</f>
        <v>0</v>
      </c>
      <c r="J14" s="40"/>
      <c r="K14" s="40"/>
    </row>
    <row r="15" spans="1:11" ht="15" customHeight="1" x14ac:dyDescent="0.25">
      <c r="A15" s="199"/>
      <c r="B15" s="200"/>
      <c r="C15" s="81" t="s">
        <v>179</v>
      </c>
      <c r="D15" s="200" t="s">
        <v>249</v>
      </c>
      <c r="E15" s="201"/>
      <c r="F15" s="39"/>
      <c r="G15" s="39"/>
      <c r="H15" s="35" t="s">
        <v>67</v>
      </c>
      <c r="I15" s="35" t="s">
        <v>67</v>
      </c>
    </row>
    <row r="16" spans="1:11" ht="15" customHeight="1" x14ac:dyDescent="0.25">
      <c r="A16" s="199"/>
      <c r="B16" s="200"/>
      <c r="C16" s="81" t="s">
        <v>164</v>
      </c>
      <c r="D16" s="200"/>
      <c r="E16" s="201"/>
      <c r="F16" s="39"/>
      <c r="G16" s="39"/>
      <c r="H16" s="35" t="s">
        <v>67</v>
      </c>
      <c r="I16" s="35" t="s">
        <v>67</v>
      </c>
    </row>
    <row r="17" spans="1:11" ht="15" customHeight="1" x14ac:dyDescent="0.25">
      <c r="A17" s="199"/>
      <c r="B17" s="200"/>
      <c r="C17" s="81" t="s">
        <v>182</v>
      </c>
      <c r="D17" s="200"/>
      <c r="E17" s="201"/>
      <c r="F17" s="35">
        <f>+F15+F16</f>
        <v>0</v>
      </c>
      <c r="G17" s="35">
        <f t="shared" ref="G17" si="4">+G15+G16</f>
        <v>0</v>
      </c>
      <c r="H17" s="35">
        <f>+G17-F17</f>
        <v>0</v>
      </c>
      <c r="I17" s="50">
        <f>+ROUND(IF(H17&gt;0,H17*E15,0),4)</f>
        <v>0</v>
      </c>
    </row>
    <row r="18" spans="1:11" ht="15" customHeight="1" x14ac:dyDescent="0.25">
      <c r="A18" s="199"/>
      <c r="B18" s="200"/>
      <c r="C18" s="81" t="s">
        <v>180</v>
      </c>
      <c r="D18" s="200" t="s">
        <v>249</v>
      </c>
      <c r="E18" s="201"/>
      <c r="F18" s="39"/>
      <c r="G18" s="39"/>
      <c r="H18" s="35" t="s">
        <v>67</v>
      </c>
      <c r="I18" s="35" t="s">
        <v>67</v>
      </c>
    </row>
    <row r="19" spans="1:11" ht="15" customHeight="1" x14ac:dyDescent="0.25">
      <c r="A19" s="199"/>
      <c r="B19" s="200"/>
      <c r="C19" s="81" t="s">
        <v>164</v>
      </c>
      <c r="D19" s="200"/>
      <c r="E19" s="201"/>
      <c r="F19" s="39"/>
      <c r="G19" s="39"/>
      <c r="H19" s="35" t="s">
        <v>67</v>
      </c>
      <c r="I19" s="35" t="s">
        <v>67</v>
      </c>
    </row>
    <row r="20" spans="1:11" ht="15" customHeight="1" x14ac:dyDescent="0.25">
      <c r="A20" s="199"/>
      <c r="B20" s="200"/>
      <c r="C20" s="81" t="s">
        <v>181</v>
      </c>
      <c r="D20" s="200"/>
      <c r="E20" s="201"/>
      <c r="F20" s="35">
        <f>+F18+F19</f>
        <v>0</v>
      </c>
      <c r="G20" s="35">
        <f t="shared" ref="G20" si="5">+G18+G19</f>
        <v>0</v>
      </c>
      <c r="H20" s="35">
        <f>+G20-F20</f>
        <v>0</v>
      </c>
      <c r="I20" s="50">
        <f>+ROUND(IF(H20&gt;0,H20*E18,0),4)</f>
        <v>0</v>
      </c>
      <c r="J20" s="41"/>
      <c r="K20" s="41"/>
    </row>
    <row r="21" spans="1:11" s="41" customFormat="1" ht="15" customHeight="1" x14ac:dyDescent="0.25">
      <c r="A21" s="199" t="s">
        <v>63</v>
      </c>
      <c r="B21" s="200" t="s">
        <v>176</v>
      </c>
      <c r="C21" s="81" t="s">
        <v>162</v>
      </c>
      <c r="D21" s="128"/>
      <c r="E21" s="170"/>
      <c r="F21" s="39"/>
      <c r="G21" s="39"/>
      <c r="H21" s="35">
        <f>+G21-F21</f>
        <v>0</v>
      </c>
      <c r="I21" s="50">
        <f t="shared" ref="I21:I22" si="6">+ROUND(IF(H21&gt;0,H21*E21,0),4)</f>
        <v>0</v>
      </c>
    </row>
    <row r="22" spans="1:11" s="41" customFormat="1" ht="15" customHeight="1" x14ac:dyDescent="0.25">
      <c r="A22" s="199"/>
      <c r="B22" s="200"/>
      <c r="C22" s="81" t="s">
        <v>222</v>
      </c>
      <c r="D22" s="128"/>
      <c r="E22" s="170"/>
      <c r="F22" s="39"/>
      <c r="G22" s="39"/>
      <c r="H22" s="35">
        <f>+G22-F22</f>
        <v>0</v>
      </c>
      <c r="I22" s="50">
        <f t="shared" si="6"/>
        <v>0</v>
      </c>
      <c r="J22" s="40"/>
      <c r="K22" s="40"/>
    </row>
    <row r="23" spans="1:11" ht="15" customHeight="1" x14ac:dyDescent="0.25">
      <c r="A23" s="199"/>
      <c r="B23" s="200"/>
      <c r="C23" s="81" t="s">
        <v>179</v>
      </c>
      <c r="D23" s="200" t="s">
        <v>249</v>
      </c>
      <c r="E23" s="201"/>
      <c r="F23" s="39"/>
      <c r="G23" s="39"/>
      <c r="H23" s="35" t="s">
        <v>67</v>
      </c>
      <c r="I23" s="35" t="s">
        <v>67</v>
      </c>
    </row>
    <row r="24" spans="1:11" ht="15" customHeight="1" x14ac:dyDescent="0.25">
      <c r="A24" s="199"/>
      <c r="B24" s="200"/>
      <c r="C24" s="81" t="s">
        <v>164</v>
      </c>
      <c r="D24" s="200"/>
      <c r="E24" s="201"/>
      <c r="F24" s="39"/>
      <c r="G24" s="39"/>
      <c r="H24" s="35" t="s">
        <v>67</v>
      </c>
      <c r="I24" s="35" t="s">
        <v>67</v>
      </c>
    </row>
    <row r="25" spans="1:11" ht="15" customHeight="1" x14ac:dyDescent="0.25">
      <c r="A25" s="199"/>
      <c r="B25" s="200"/>
      <c r="C25" s="81" t="s">
        <v>182</v>
      </c>
      <c r="D25" s="200"/>
      <c r="E25" s="201"/>
      <c r="F25" s="35">
        <f>+F23+F24</f>
        <v>0</v>
      </c>
      <c r="G25" s="35">
        <f>+G23+G24</f>
        <v>0</v>
      </c>
      <c r="H25" s="35">
        <f>+G25-F25</f>
        <v>0</v>
      </c>
      <c r="I25" s="50">
        <f>+ROUND(IF(H25&gt;0,H25*E23,0),4)</f>
        <v>0</v>
      </c>
    </row>
    <row r="26" spans="1:11" ht="15" customHeight="1" x14ac:dyDescent="0.25">
      <c r="A26" s="199"/>
      <c r="B26" s="200"/>
      <c r="C26" s="81" t="s">
        <v>180</v>
      </c>
      <c r="D26" s="200" t="s">
        <v>249</v>
      </c>
      <c r="E26" s="201"/>
      <c r="F26" s="39"/>
      <c r="G26" s="39"/>
      <c r="H26" s="35" t="s">
        <v>67</v>
      </c>
      <c r="I26" s="35" t="s">
        <v>67</v>
      </c>
    </row>
    <row r="27" spans="1:11" ht="15" customHeight="1" x14ac:dyDescent="0.25">
      <c r="A27" s="199"/>
      <c r="B27" s="200"/>
      <c r="C27" s="81" t="s">
        <v>164</v>
      </c>
      <c r="D27" s="200"/>
      <c r="E27" s="201"/>
      <c r="F27" s="39"/>
      <c r="G27" s="39"/>
      <c r="H27" s="35" t="s">
        <v>67</v>
      </c>
      <c r="I27" s="35" t="s">
        <v>67</v>
      </c>
    </row>
    <row r="28" spans="1:11" ht="15" customHeight="1" x14ac:dyDescent="0.25">
      <c r="A28" s="199"/>
      <c r="B28" s="200"/>
      <c r="C28" s="81" t="s">
        <v>181</v>
      </c>
      <c r="D28" s="200"/>
      <c r="E28" s="201"/>
      <c r="F28" s="35">
        <f>+F26+F27</f>
        <v>0</v>
      </c>
      <c r="G28" s="35">
        <f t="shared" ref="G28" si="7">+G26+G27</f>
        <v>0</v>
      </c>
      <c r="H28" s="35">
        <f>+G28-F28</f>
        <v>0</v>
      </c>
      <c r="I28" s="50">
        <f>+ROUND(IF(H28&gt;0,H28*E26,0),4)</f>
        <v>0</v>
      </c>
      <c r="J28" s="41"/>
      <c r="K28" s="41"/>
    </row>
    <row r="29" spans="1:11" s="41" customFormat="1" ht="15" customHeight="1" x14ac:dyDescent="0.25">
      <c r="A29" s="199" t="s">
        <v>63</v>
      </c>
      <c r="B29" s="200" t="s">
        <v>177</v>
      </c>
      <c r="C29" s="81" t="s">
        <v>162</v>
      </c>
      <c r="D29" s="128"/>
      <c r="E29" s="170"/>
      <c r="F29" s="39"/>
      <c r="G29" s="39"/>
      <c r="H29" s="35">
        <f>+G29-F29</f>
        <v>0</v>
      </c>
      <c r="I29" s="50">
        <f t="shared" ref="I29" si="8">+ROUND(IF(H29&gt;0,H29*E29,0),4)</f>
        <v>0</v>
      </c>
      <c r="J29" s="40"/>
      <c r="K29" s="40"/>
    </row>
    <row r="30" spans="1:11" ht="15" customHeight="1" x14ac:dyDescent="0.25">
      <c r="A30" s="199"/>
      <c r="B30" s="200"/>
      <c r="C30" s="81" t="s">
        <v>179</v>
      </c>
      <c r="D30" s="200" t="s">
        <v>249</v>
      </c>
      <c r="E30" s="201"/>
      <c r="F30" s="39"/>
      <c r="G30" s="39"/>
      <c r="H30" s="35" t="s">
        <v>67</v>
      </c>
      <c r="I30" s="35" t="s">
        <v>67</v>
      </c>
    </row>
    <row r="31" spans="1:11" ht="15" customHeight="1" x14ac:dyDescent="0.25">
      <c r="A31" s="199"/>
      <c r="B31" s="200"/>
      <c r="C31" s="81" t="s">
        <v>164</v>
      </c>
      <c r="D31" s="200"/>
      <c r="E31" s="201"/>
      <c r="F31" s="39"/>
      <c r="G31" s="39"/>
      <c r="H31" s="35" t="s">
        <v>67</v>
      </c>
      <c r="I31" s="35" t="s">
        <v>67</v>
      </c>
    </row>
    <row r="32" spans="1:11" ht="15" customHeight="1" x14ac:dyDescent="0.25">
      <c r="A32" s="199"/>
      <c r="B32" s="200"/>
      <c r="C32" s="81" t="s">
        <v>182</v>
      </c>
      <c r="D32" s="200"/>
      <c r="E32" s="201"/>
      <c r="F32" s="35">
        <f>+F30+F31</f>
        <v>0</v>
      </c>
      <c r="G32" s="35">
        <f t="shared" ref="G32" si="9">+G30+G31</f>
        <v>0</v>
      </c>
      <c r="H32" s="35">
        <f>+G32-F32</f>
        <v>0</v>
      </c>
      <c r="I32" s="50">
        <f>+ROUND(IF(H32&gt;0,H32*E30,0),4)</f>
        <v>0</v>
      </c>
    </row>
    <row r="33" spans="1:11" ht="15" customHeight="1" x14ac:dyDescent="0.25">
      <c r="A33" s="199"/>
      <c r="B33" s="200"/>
      <c r="C33" s="81" t="s">
        <v>180</v>
      </c>
      <c r="D33" s="200" t="s">
        <v>249</v>
      </c>
      <c r="E33" s="201"/>
      <c r="F33" s="39"/>
      <c r="G33" s="39"/>
      <c r="H33" s="35" t="s">
        <v>67</v>
      </c>
      <c r="I33" s="35" t="s">
        <v>67</v>
      </c>
    </row>
    <row r="34" spans="1:11" ht="15" customHeight="1" x14ac:dyDescent="0.25">
      <c r="A34" s="199"/>
      <c r="B34" s="200"/>
      <c r="C34" s="81" t="s">
        <v>164</v>
      </c>
      <c r="D34" s="200"/>
      <c r="E34" s="201"/>
      <c r="F34" s="39"/>
      <c r="G34" s="39"/>
      <c r="H34" s="35" t="s">
        <v>67</v>
      </c>
      <c r="I34" s="35" t="s">
        <v>67</v>
      </c>
    </row>
    <row r="35" spans="1:11" ht="15" customHeight="1" x14ac:dyDescent="0.25">
      <c r="A35" s="199"/>
      <c r="B35" s="200"/>
      <c r="C35" s="81" t="s">
        <v>181</v>
      </c>
      <c r="D35" s="200"/>
      <c r="E35" s="201"/>
      <c r="F35" s="35">
        <f>+F33+F34</f>
        <v>0</v>
      </c>
      <c r="G35" s="35">
        <f t="shared" ref="G35" si="10">+G33+G34</f>
        <v>0</v>
      </c>
      <c r="H35" s="35">
        <f>+G35-F35</f>
        <v>0</v>
      </c>
      <c r="I35" s="50">
        <f>+ROUND(IF(H35&gt;0,H35*E33,0),4)</f>
        <v>0</v>
      </c>
    </row>
    <row r="36" spans="1:11" ht="15" customHeight="1" x14ac:dyDescent="0.25">
      <c r="A36" s="199" t="s">
        <v>63</v>
      </c>
      <c r="B36" s="200" t="s">
        <v>200</v>
      </c>
      <c r="C36" s="81" t="s">
        <v>162</v>
      </c>
      <c r="D36" s="128"/>
      <c r="E36" s="170"/>
      <c r="F36" s="39"/>
      <c r="G36" s="39"/>
      <c r="H36" s="35">
        <f>+G36-F36</f>
        <v>0</v>
      </c>
      <c r="I36" s="50">
        <f t="shared" ref="I36" si="11">+ROUND(IF(H36&gt;0,H36*E36,0),4)</f>
        <v>0</v>
      </c>
    </row>
    <row r="37" spans="1:11" ht="15" customHeight="1" x14ac:dyDescent="0.25">
      <c r="A37" s="199"/>
      <c r="B37" s="200"/>
      <c r="C37" s="81" t="s">
        <v>179</v>
      </c>
      <c r="D37" s="200" t="s">
        <v>249</v>
      </c>
      <c r="E37" s="201"/>
      <c r="F37" s="39"/>
      <c r="G37" s="39"/>
      <c r="H37" s="35" t="s">
        <v>67</v>
      </c>
      <c r="I37" s="35" t="s">
        <v>67</v>
      </c>
      <c r="J37" s="41"/>
      <c r="K37" s="41"/>
    </row>
    <row r="38" spans="1:11" s="41" customFormat="1" ht="15" customHeight="1" x14ac:dyDescent="0.25">
      <c r="A38" s="199"/>
      <c r="B38" s="200"/>
      <c r="C38" s="81" t="s">
        <v>164</v>
      </c>
      <c r="D38" s="200"/>
      <c r="E38" s="201"/>
      <c r="F38" s="39"/>
      <c r="G38" s="39"/>
      <c r="H38" s="35" t="s">
        <v>67</v>
      </c>
      <c r="I38" s="35" t="s">
        <v>67</v>
      </c>
      <c r="J38" s="40"/>
      <c r="K38" s="40"/>
    </row>
    <row r="39" spans="1:11" ht="15" customHeight="1" x14ac:dyDescent="0.25">
      <c r="A39" s="199"/>
      <c r="B39" s="200"/>
      <c r="C39" s="81" t="s">
        <v>182</v>
      </c>
      <c r="D39" s="200"/>
      <c r="E39" s="201"/>
      <c r="F39" s="35">
        <f>+F37+F38</f>
        <v>0</v>
      </c>
      <c r="G39" s="35">
        <f t="shared" ref="G39" si="12">+G37+G38</f>
        <v>0</v>
      </c>
      <c r="H39" s="35">
        <f>+G39-F39</f>
        <v>0</v>
      </c>
      <c r="I39" s="50">
        <f>+ROUND(IF(H39&gt;0,H39*E37,0),4)</f>
        <v>0</v>
      </c>
    </row>
    <row r="40" spans="1:11" ht="15" customHeight="1" x14ac:dyDescent="0.25">
      <c r="A40" s="199"/>
      <c r="B40" s="200"/>
      <c r="C40" s="81" t="s">
        <v>180</v>
      </c>
      <c r="D40" s="200" t="s">
        <v>249</v>
      </c>
      <c r="E40" s="201"/>
      <c r="F40" s="39"/>
      <c r="G40" s="39"/>
      <c r="H40" s="35" t="s">
        <v>67</v>
      </c>
      <c r="I40" s="35" t="s">
        <v>67</v>
      </c>
    </row>
    <row r="41" spans="1:11" ht="15" customHeight="1" x14ac:dyDescent="0.25">
      <c r="A41" s="199"/>
      <c r="B41" s="200"/>
      <c r="C41" s="81" t="s">
        <v>164</v>
      </c>
      <c r="D41" s="200"/>
      <c r="E41" s="201"/>
      <c r="F41" s="39"/>
      <c r="G41" s="39"/>
      <c r="H41" s="35" t="s">
        <v>67</v>
      </c>
      <c r="I41" s="35" t="s">
        <v>67</v>
      </c>
      <c r="J41" s="41"/>
      <c r="K41" s="41"/>
    </row>
    <row r="42" spans="1:11" s="41" customFormat="1" ht="15" customHeight="1" x14ac:dyDescent="0.25">
      <c r="A42" s="199"/>
      <c r="B42" s="200"/>
      <c r="C42" s="81" t="s">
        <v>181</v>
      </c>
      <c r="D42" s="200"/>
      <c r="E42" s="201"/>
      <c r="F42" s="35">
        <f>+F40+F41</f>
        <v>0</v>
      </c>
      <c r="G42" s="35">
        <f t="shared" ref="G42" si="13">+G40+G41</f>
        <v>0</v>
      </c>
      <c r="H42" s="35">
        <f>+G42-F42</f>
        <v>0</v>
      </c>
      <c r="I42" s="50">
        <f>+ROUND(IF(H42&gt;0,H42*E40,0),4)</f>
        <v>0</v>
      </c>
    </row>
    <row r="43" spans="1:11" s="41" customFormat="1" ht="15" customHeight="1" x14ac:dyDescent="0.25">
      <c r="A43" s="199" t="s">
        <v>63</v>
      </c>
      <c r="B43" s="200" t="s">
        <v>199</v>
      </c>
      <c r="C43" s="81" t="s">
        <v>162</v>
      </c>
      <c r="D43" s="128"/>
      <c r="E43" s="170"/>
      <c r="F43" s="39"/>
      <c r="G43" s="39"/>
      <c r="H43" s="35">
        <f>+G43-F43</f>
        <v>0</v>
      </c>
      <c r="I43" s="50">
        <f>+ROUND(IF(H43&gt;0,H43*E43,0),4)</f>
        <v>0</v>
      </c>
    </row>
    <row r="44" spans="1:11" s="41" customFormat="1" ht="15" customHeight="1" x14ac:dyDescent="0.25">
      <c r="A44" s="199"/>
      <c r="B44" s="200"/>
      <c r="C44" s="81" t="s">
        <v>179</v>
      </c>
      <c r="D44" s="200" t="s">
        <v>249</v>
      </c>
      <c r="E44" s="201"/>
      <c r="F44" s="39"/>
      <c r="G44" s="39"/>
      <c r="H44" s="35" t="s">
        <v>67</v>
      </c>
      <c r="I44" s="35" t="s">
        <v>67</v>
      </c>
    </row>
    <row r="45" spans="1:11" s="41" customFormat="1" ht="15" customHeight="1" x14ac:dyDescent="0.25">
      <c r="A45" s="199"/>
      <c r="B45" s="200"/>
      <c r="C45" s="81" t="s">
        <v>164</v>
      </c>
      <c r="D45" s="200"/>
      <c r="E45" s="201"/>
      <c r="F45" s="39"/>
      <c r="G45" s="39"/>
      <c r="H45" s="35" t="s">
        <v>67</v>
      </c>
      <c r="I45" s="35" t="s">
        <v>67</v>
      </c>
    </row>
    <row r="46" spans="1:11" s="41" customFormat="1" ht="15" customHeight="1" x14ac:dyDescent="0.25">
      <c r="A46" s="199"/>
      <c r="B46" s="200"/>
      <c r="C46" s="81" t="s">
        <v>182</v>
      </c>
      <c r="D46" s="200"/>
      <c r="E46" s="201"/>
      <c r="F46" s="35">
        <f>+F44+F45</f>
        <v>0</v>
      </c>
      <c r="G46" s="35">
        <f t="shared" ref="G46" si="14">+G44+G45</f>
        <v>0</v>
      </c>
      <c r="H46" s="35">
        <f>+G46-F46</f>
        <v>0</v>
      </c>
      <c r="I46" s="50">
        <f>+ROUND(IF(H46&gt;0,H46*E44,0),4)</f>
        <v>0</v>
      </c>
    </row>
    <row r="47" spans="1:11" s="41" customFormat="1" ht="15" customHeight="1" x14ac:dyDescent="0.25">
      <c r="A47" s="199"/>
      <c r="B47" s="200"/>
      <c r="C47" s="81" t="s">
        <v>180</v>
      </c>
      <c r="D47" s="200" t="s">
        <v>249</v>
      </c>
      <c r="E47" s="201"/>
      <c r="F47" s="39"/>
      <c r="G47" s="39"/>
      <c r="H47" s="35" t="s">
        <v>67</v>
      </c>
      <c r="I47" s="35" t="s">
        <v>67</v>
      </c>
    </row>
    <row r="48" spans="1:11" s="41" customFormat="1" ht="15" customHeight="1" x14ac:dyDescent="0.25">
      <c r="A48" s="199"/>
      <c r="B48" s="200"/>
      <c r="C48" s="81" t="s">
        <v>164</v>
      </c>
      <c r="D48" s="200"/>
      <c r="E48" s="201"/>
      <c r="F48" s="39"/>
      <c r="G48" s="39"/>
      <c r="H48" s="35" t="s">
        <v>67</v>
      </c>
      <c r="I48" s="35" t="s">
        <v>67</v>
      </c>
    </row>
    <row r="49" spans="1:11" s="41" customFormat="1" ht="15" customHeight="1" x14ac:dyDescent="0.25">
      <c r="A49" s="199"/>
      <c r="B49" s="200"/>
      <c r="C49" s="81" t="s">
        <v>181</v>
      </c>
      <c r="D49" s="200"/>
      <c r="E49" s="201"/>
      <c r="F49" s="35">
        <f>+F47+F48</f>
        <v>0</v>
      </c>
      <c r="G49" s="35">
        <f t="shared" ref="G49" si="15">+G47+G48</f>
        <v>0</v>
      </c>
      <c r="H49" s="35">
        <f>+G49-F49</f>
        <v>0</v>
      </c>
      <c r="I49" s="50">
        <f>+ROUND(IF(H49&gt;0,H49*E47,0),4)</f>
        <v>0</v>
      </c>
      <c r="J49" s="40"/>
      <c r="K49" s="40"/>
    </row>
    <row r="50" spans="1:11" ht="15" customHeight="1" x14ac:dyDescent="0.25">
      <c r="A50" s="199" t="s">
        <v>63</v>
      </c>
      <c r="B50" s="200" t="s">
        <v>198</v>
      </c>
      <c r="C50" s="81" t="s">
        <v>162</v>
      </c>
      <c r="D50" s="128"/>
      <c r="E50" s="170"/>
      <c r="F50" s="39"/>
      <c r="G50" s="39"/>
      <c r="H50" s="35">
        <f>+G50-F50</f>
        <v>0</v>
      </c>
      <c r="I50" s="50">
        <f>+ROUND(IF(H50&gt;0,H50*E50,0),4)</f>
        <v>0</v>
      </c>
    </row>
    <row r="51" spans="1:11" ht="15" customHeight="1" x14ac:dyDescent="0.25">
      <c r="A51" s="199"/>
      <c r="B51" s="200"/>
      <c r="C51" s="81" t="s">
        <v>179</v>
      </c>
      <c r="D51" s="200" t="s">
        <v>249</v>
      </c>
      <c r="E51" s="201"/>
      <c r="F51" s="39"/>
      <c r="G51" s="39"/>
      <c r="H51" s="35" t="s">
        <v>67</v>
      </c>
      <c r="I51" s="35" t="s">
        <v>67</v>
      </c>
    </row>
    <row r="52" spans="1:11" ht="15" customHeight="1" x14ac:dyDescent="0.25">
      <c r="A52" s="199"/>
      <c r="B52" s="200"/>
      <c r="C52" s="81" t="s">
        <v>164</v>
      </c>
      <c r="D52" s="200"/>
      <c r="E52" s="201"/>
      <c r="F52" s="39"/>
      <c r="G52" s="39"/>
      <c r="H52" s="35" t="s">
        <v>67</v>
      </c>
      <c r="I52" s="35" t="s">
        <v>67</v>
      </c>
    </row>
    <row r="53" spans="1:11" ht="15" customHeight="1" x14ac:dyDescent="0.25">
      <c r="A53" s="199"/>
      <c r="B53" s="200"/>
      <c r="C53" s="81" t="s">
        <v>182</v>
      </c>
      <c r="D53" s="200"/>
      <c r="E53" s="201"/>
      <c r="F53" s="35">
        <f>+F51+F52</f>
        <v>0</v>
      </c>
      <c r="G53" s="35">
        <f t="shared" ref="G53" si="16">+G51+G52</f>
        <v>0</v>
      </c>
      <c r="H53" s="35">
        <f>+G53-F53</f>
        <v>0</v>
      </c>
      <c r="I53" s="50">
        <f>+ROUND(IF(H53&gt;0,H53*E51,0),4)</f>
        <v>0</v>
      </c>
    </row>
    <row r="54" spans="1:11" ht="15" customHeight="1" x14ac:dyDescent="0.25">
      <c r="A54" s="199"/>
      <c r="B54" s="200"/>
      <c r="C54" s="81" t="s">
        <v>180</v>
      </c>
      <c r="D54" s="200" t="s">
        <v>249</v>
      </c>
      <c r="E54" s="201"/>
      <c r="F54" s="39"/>
      <c r="G54" s="39"/>
      <c r="H54" s="35" t="s">
        <v>67</v>
      </c>
      <c r="I54" s="35" t="s">
        <v>67</v>
      </c>
    </row>
    <row r="55" spans="1:11" ht="15" customHeight="1" x14ac:dyDescent="0.25">
      <c r="A55" s="199"/>
      <c r="B55" s="200"/>
      <c r="C55" s="81" t="s">
        <v>164</v>
      </c>
      <c r="D55" s="200"/>
      <c r="E55" s="201"/>
      <c r="F55" s="39"/>
      <c r="G55" s="39"/>
      <c r="H55" s="35" t="s">
        <v>67</v>
      </c>
      <c r="I55" s="35" t="s">
        <v>67</v>
      </c>
    </row>
    <row r="56" spans="1:11" ht="15" customHeight="1" x14ac:dyDescent="0.25">
      <c r="A56" s="199"/>
      <c r="B56" s="200"/>
      <c r="C56" s="81" t="s">
        <v>181</v>
      </c>
      <c r="D56" s="200"/>
      <c r="E56" s="201"/>
      <c r="F56" s="35">
        <f>+F54+F55</f>
        <v>0</v>
      </c>
      <c r="G56" s="35">
        <f t="shared" ref="G56" si="17">+G54+G55</f>
        <v>0</v>
      </c>
      <c r="H56" s="35">
        <f>+G56-F56</f>
        <v>0</v>
      </c>
      <c r="I56" s="50">
        <f>+ROUND(IF(H56&gt;0,H56*E54,0),4)</f>
        <v>0</v>
      </c>
    </row>
    <row r="57" spans="1:11" ht="15" customHeight="1" x14ac:dyDescent="0.25">
      <c r="A57" s="199" t="s">
        <v>63</v>
      </c>
      <c r="B57" s="200" t="s">
        <v>224</v>
      </c>
      <c r="C57" s="81" t="s">
        <v>162</v>
      </c>
      <c r="D57" s="128"/>
      <c r="E57" s="170"/>
      <c r="F57" s="39"/>
      <c r="G57" s="39"/>
      <c r="H57" s="35">
        <f>+G57-F57</f>
        <v>0</v>
      </c>
      <c r="I57" s="50">
        <f t="shared" ref="I57" si="18">+ROUND(IF(H57&gt;0,H57*E57,0),4)</f>
        <v>0</v>
      </c>
    </row>
    <row r="58" spans="1:11" ht="15" customHeight="1" x14ac:dyDescent="0.25">
      <c r="A58" s="199"/>
      <c r="B58" s="200"/>
      <c r="C58" s="81" t="s">
        <v>179</v>
      </c>
      <c r="D58" s="200" t="s">
        <v>249</v>
      </c>
      <c r="E58" s="201"/>
      <c r="F58" s="39"/>
      <c r="G58" s="39"/>
      <c r="H58" s="35" t="s">
        <v>67</v>
      </c>
      <c r="I58" s="35" t="s">
        <v>67</v>
      </c>
    </row>
    <row r="59" spans="1:11" ht="15" customHeight="1" x14ac:dyDescent="0.25">
      <c r="A59" s="199"/>
      <c r="B59" s="200"/>
      <c r="C59" s="81" t="s">
        <v>164</v>
      </c>
      <c r="D59" s="200"/>
      <c r="E59" s="201"/>
      <c r="F59" s="39"/>
      <c r="G59" s="39"/>
      <c r="H59" s="35" t="s">
        <v>67</v>
      </c>
      <c r="I59" s="35" t="s">
        <v>67</v>
      </c>
    </row>
    <row r="60" spans="1:11" ht="15" customHeight="1" x14ac:dyDescent="0.25">
      <c r="A60" s="199"/>
      <c r="B60" s="200"/>
      <c r="C60" s="81" t="s">
        <v>182</v>
      </c>
      <c r="D60" s="200"/>
      <c r="E60" s="201"/>
      <c r="F60" s="35">
        <f>+F58+F59</f>
        <v>0</v>
      </c>
      <c r="G60" s="35">
        <f t="shared" ref="G60" si="19">+G58+G59</f>
        <v>0</v>
      </c>
      <c r="H60" s="35">
        <f>+G60-F60</f>
        <v>0</v>
      </c>
      <c r="I60" s="50">
        <f>+ROUND(IF(H60&gt;0,H60*E58,0),4)</f>
        <v>0</v>
      </c>
    </row>
    <row r="61" spans="1:11" ht="15" customHeight="1" x14ac:dyDescent="0.25">
      <c r="A61" s="199"/>
      <c r="B61" s="200"/>
      <c r="C61" s="81" t="s">
        <v>180</v>
      </c>
      <c r="D61" s="200" t="s">
        <v>249</v>
      </c>
      <c r="E61" s="201"/>
      <c r="F61" s="39"/>
      <c r="G61" s="39"/>
      <c r="H61" s="35" t="s">
        <v>67</v>
      </c>
      <c r="I61" s="35" t="s">
        <v>67</v>
      </c>
    </row>
    <row r="62" spans="1:11" ht="15" customHeight="1" x14ac:dyDescent="0.25">
      <c r="A62" s="199"/>
      <c r="B62" s="200"/>
      <c r="C62" s="81" t="s">
        <v>164</v>
      </c>
      <c r="D62" s="200"/>
      <c r="E62" s="201"/>
      <c r="F62" s="39"/>
      <c r="G62" s="39"/>
      <c r="H62" s="35" t="s">
        <v>67</v>
      </c>
      <c r="I62" s="35" t="s">
        <v>67</v>
      </c>
    </row>
    <row r="63" spans="1:11" ht="15" customHeight="1" x14ac:dyDescent="0.25">
      <c r="A63" s="199"/>
      <c r="B63" s="200"/>
      <c r="C63" s="81" t="s">
        <v>181</v>
      </c>
      <c r="D63" s="200"/>
      <c r="E63" s="201"/>
      <c r="F63" s="35">
        <f>+F61+F62</f>
        <v>0</v>
      </c>
      <c r="G63" s="35">
        <f t="shared" ref="G63" si="20">+G61+G62</f>
        <v>0</v>
      </c>
      <c r="H63" s="35">
        <f>+G63-F63</f>
        <v>0</v>
      </c>
      <c r="I63" s="50">
        <f>+ROUND(IF(H63&gt;0,H63*E61,0),4)</f>
        <v>0</v>
      </c>
    </row>
    <row r="64" spans="1:11" ht="15" customHeight="1" x14ac:dyDescent="0.25">
      <c r="A64" s="199" t="s">
        <v>235</v>
      </c>
      <c r="B64" s="200" t="s">
        <v>225</v>
      </c>
      <c r="C64" s="81" t="s">
        <v>162</v>
      </c>
      <c r="D64" s="128"/>
      <c r="E64" s="170"/>
      <c r="F64" s="39"/>
      <c r="G64" s="39"/>
      <c r="H64" s="35">
        <f>+G64-F64</f>
        <v>0</v>
      </c>
      <c r="I64" s="50">
        <f t="shared" ref="I64" si="21">+ROUND(IF(H64&gt;0,H64*E64,0),4)</f>
        <v>0</v>
      </c>
    </row>
    <row r="65" spans="1:17" ht="15" customHeight="1" x14ac:dyDescent="0.25">
      <c r="A65" s="199"/>
      <c r="B65" s="200"/>
      <c r="C65" s="81" t="s">
        <v>226</v>
      </c>
      <c r="D65" s="200" t="s">
        <v>249</v>
      </c>
      <c r="E65" s="201"/>
      <c r="F65" s="39"/>
      <c r="G65" s="39"/>
      <c r="H65" s="35" t="s">
        <v>67</v>
      </c>
      <c r="I65" s="35" t="s">
        <v>67</v>
      </c>
    </row>
    <row r="66" spans="1:17" ht="15" customHeight="1" x14ac:dyDescent="0.25">
      <c r="A66" s="199"/>
      <c r="B66" s="200"/>
      <c r="C66" s="81" t="s">
        <v>164</v>
      </c>
      <c r="D66" s="200"/>
      <c r="E66" s="201"/>
      <c r="F66" s="39"/>
      <c r="G66" s="39"/>
      <c r="H66" s="35" t="s">
        <v>67</v>
      </c>
      <c r="I66" s="35" t="s">
        <v>67</v>
      </c>
    </row>
    <row r="67" spans="1:17" ht="15" customHeight="1" x14ac:dyDescent="0.25">
      <c r="A67" s="199"/>
      <c r="B67" s="200"/>
      <c r="C67" s="81" t="s">
        <v>227</v>
      </c>
      <c r="D67" s="200"/>
      <c r="E67" s="201"/>
      <c r="F67" s="35">
        <f>+F65+F66</f>
        <v>0</v>
      </c>
      <c r="G67" s="35">
        <f t="shared" ref="G67" si="22">+G65+G66</f>
        <v>0</v>
      </c>
      <c r="H67" s="35">
        <f>+G67-F67</f>
        <v>0</v>
      </c>
      <c r="I67" s="50">
        <f>+ROUND(IF(H67&gt;0,H67*E65,0),4)</f>
        <v>0</v>
      </c>
    </row>
    <row r="68" spans="1:17" ht="15" customHeight="1" x14ac:dyDescent="0.25">
      <c r="A68" s="199"/>
      <c r="B68" s="200"/>
      <c r="C68" s="81" t="s">
        <v>179</v>
      </c>
      <c r="D68" s="200" t="s">
        <v>249</v>
      </c>
      <c r="E68" s="201"/>
      <c r="F68" s="39"/>
      <c r="G68" s="39"/>
      <c r="H68" s="35" t="s">
        <v>67</v>
      </c>
      <c r="I68" s="35" t="s">
        <v>67</v>
      </c>
    </row>
    <row r="69" spans="1:17" ht="15" customHeight="1" x14ac:dyDescent="0.25">
      <c r="A69" s="199"/>
      <c r="B69" s="200"/>
      <c r="C69" s="81" t="s">
        <v>164</v>
      </c>
      <c r="D69" s="200"/>
      <c r="E69" s="201"/>
      <c r="F69" s="39"/>
      <c r="G69" s="39"/>
      <c r="H69" s="35" t="s">
        <v>67</v>
      </c>
      <c r="I69" s="35" t="s">
        <v>67</v>
      </c>
    </row>
    <row r="70" spans="1:17" ht="15" customHeight="1" x14ac:dyDescent="0.25">
      <c r="A70" s="199"/>
      <c r="B70" s="200"/>
      <c r="C70" s="81" t="s">
        <v>182</v>
      </c>
      <c r="D70" s="200"/>
      <c r="E70" s="201"/>
      <c r="F70" s="35">
        <f>+F68+F69</f>
        <v>0</v>
      </c>
      <c r="G70" s="35">
        <f t="shared" ref="G70" si="23">+G68+G69</f>
        <v>0</v>
      </c>
      <c r="H70" s="35">
        <f>+G70-F70</f>
        <v>0</v>
      </c>
      <c r="I70" s="50">
        <f>+ROUND(IF(H70&gt;0,H70*E68,0),4)</f>
        <v>0</v>
      </c>
    </row>
    <row r="71" spans="1:17" ht="15" customHeight="1" x14ac:dyDescent="0.25">
      <c r="A71" s="199"/>
      <c r="B71" s="200"/>
      <c r="C71" s="81" t="s">
        <v>180</v>
      </c>
      <c r="D71" s="200" t="s">
        <v>249</v>
      </c>
      <c r="E71" s="201"/>
      <c r="F71" s="39"/>
      <c r="G71" s="39"/>
      <c r="H71" s="35" t="s">
        <v>67</v>
      </c>
      <c r="I71" s="35" t="s">
        <v>67</v>
      </c>
    </row>
    <row r="72" spans="1:17" ht="15" customHeight="1" x14ac:dyDescent="0.25">
      <c r="A72" s="199"/>
      <c r="B72" s="200"/>
      <c r="C72" s="81" t="s">
        <v>164</v>
      </c>
      <c r="D72" s="200"/>
      <c r="E72" s="201"/>
      <c r="F72" s="39"/>
      <c r="G72" s="39"/>
      <c r="H72" s="35" t="s">
        <v>67</v>
      </c>
      <c r="I72" s="35" t="s">
        <v>67</v>
      </c>
    </row>
    <row r="73" spans="1:17" ht="15" customHeight="1" x14ac:dyDescent="0.25">
      <c r="A73" s="199"/>
      <c r="B73" s="200"/>
      <c r="C73" s="81" t="s">
        <v>181</v>
      </c>
      <c r="D73" s="200"/>
      <c r="E73" s="201"/>
      <c r="F73" s="35">
        <f>+F71+F72</f>
        <v>0</v>
      </c>
      <c r="G73" s="35">
        <f t="shared" ref="G73" si="24">+G71+G72</f>
        <v>0</v>
      </c>
      <c r="H73" s="35">
        <f>+G73-F73</f>
        <v>0</v>
      </c>
      <c r="I73" s="50">
        <f>+ROUND(IF(H73&gt;0,H73*E71,0),4)</f>
        <v>0</v>
      </c>
    </row>
    <row r="74" spans="1:17" ht="15" customHeight="1" x14ac:dyDescent="0.25">
      <c r="A74" s="199"/>
      <c r="B74" s="200"/>
      <c r="C74" s="81" t="s">
        <v>228</v>
      </c>
      <c r="D74" s="200" t="s">
        <v>249</v>
      </c>
      <c r="E74" s="201"/>
      <c r="F74" s="39"/>
      <c r="G74" s="39"/>
      <c r="H74" s="35" t="s">
        <v>67</v>
      </c>
      <c r="I74" s="35" t="s">
        <v>67</v>
      </c>
    </row>
    <row r="75" spans="1:17" ht="15" customHeight="1" x14ac:dyDescent="0.25">
      <c r="A75" s="199"/>
      <c r="B75" s="200"/>
      <c r="C75" s="81" t="s">
        <v>164</v>
      </c>
      <c r="D75" s="200"/>
      <c r="E75" s="201"/>
      <c r="F75" s="39"/>
      <c r="G75" s="39"/>
      <c r="H75" s="35" t="s">
        <v>67</v>
      </c>
      <c r="I75" s="35" t="s">
        <v>67</v>
      </c>
    </row>
    <row r="76" spans="1:17" ht="15" customHeight="1" x14ac:dyDescent="0.25">
      <c r="A76" s="199"/>
      <c r="B76" s="200"/>
      <c r="C76" s="81" t="s">
        <v>229</v>
      </c>
      <c r="D76" s="200"/>
      <c r="E76" s="201"/>
      <c r="F76" s="35">
        <f>+F74+F75</f>
        <v>0</v>
      </c>
      <c r="G76" s="35">
        <f t="shared" ref="G76" si="25">+G74+G75</f>
        <v>0</v>
      </c>
      <c r="H76" s="35">
        <f>+G76-F76</f>
        <v>0</v>
      </c>
      <c r="I76" s="50">
        <f>+ROUND(IF(H76&gt;0,H76*E74,0),4)</f>
        <v>0</v>
      </c>
      <c r="J76" s="134" t="s">
        <v>275</v>
      </c>
    </row>
    <row r="77" spans="1:17" ht="15" customHeight="1" x14ac:dyDescent="0.25">
      <c r="A77" s="209" t="s">
        <v>63</v>
      </c>
      <c r="B77" s="210" t="s">
        <v>188</v>
      </c>
      <c r="C77" s="109" t="s">
        <v>162</v>
      </c>
      <c r="D77" s="121" t="s">
        <v>67</v>
      </c>
      <c r="E77" s="52" t="s">
        <v>67</v>
      </c>
      <c r="F77" s="52" t="s">
        <v>67</v>
      </c>
      <c r="G77" s="52" t="s">
        <v>67</v>
      </c>
      <c r="H77" s="52" t="s">
        <v>67</v>
      </c>
      <c r="I77" s="52">
        <f>N77</f>
        <v>0</v>
      </c>
      <c r="J77" s="158">
        <f>IFERROR(O77,0)</f>
        <v>0</v>
      </c>
      <c r="M77" s="156">
        <f>IFERROR(ROUND((I77+I78)/M78,6),0)</f>
        <v>0</v>
      </c>
      <c r="N77" s="156">
        <f>ROUND((+I5+I9+I10+I14+I21+I22+I29+I36+I43+I50+I57+I64),4)</f>
        <v>0</v>
      </c>
      <c r="O77" s="156">
        <f>IFERROR(ROUND(((N77+N78)/M78),6),0)</f>
        <v>0</v>
      </c>
      <c r="P77" s="40" t="s">
        <v>283</v>
      </c>
      <c r="Q77" s="40" t="s">
        <v>284</v>
      </c>
    </row>
    <row r="78" spans="1:17" ht="15" customHeight="1" x14ac:dyDescent="0.25">
      <c r="A78" s="209"/>
      <c r="B78" s="210"/>
      <c r="C78" s="109" t="s">
        <v>168</v>
      </c>
      <c r="D78" s="121"/>
      <c r="E78" s="155">
        <f>M78</f>
        <v>0</v>
      </c>
      <c r="F78" s="52" t="s">
        <v>67</v>
      </c>
      <c r="G78" s="52" t="s">
        <v>67</v>
      </c>
      <c r="H78" s="52" t="s">
        <v>67</v>
      </c>
      <c r="I78" s="52">
        <f>N78</f>
        <v>0</v>
      </c>
      <c r="J78" s="79"/>
      <c r="M78" s="157">
        <f>ROUND(SUM(E6,E11,E15,E18,E23,E26,E30,E33,E37,E40,E44,E47,E51,E54,E58,E61,E65,E68,E71,E74),3)</f>
        <v>0</v>
      </c>
      <c r="N78" s="156">
        <f>ROUND((+I8+I13+I17+I20+I25+I28+I32+I35+I39+I42+I46+I49+I53+I56+I60+I63+I67+I70+I73+I76),4)</f>
        <v>0</v>
      </c>
      <c r="O78" s="156">
        <f>IFERROR(P78/M78,0)</f>
        <v>0</v>
      </c>
      <c r="P78" s="156">
        <f>O77*M78</f>
        <v>0</v>
      </c>
      <c r="Q78" s="40">
        <f>ROUND(O78*M78*1.2,2)</f>
        <v>0</v>
      </c>
    </row>
    <row r="79" spans="1:17" ht="15" customHeight="1" x14ac:dyDescent="0.25">
      <c r="A79" s="199" t="s">
        <v>64</v>
      </c>
      <c r="B79" s="200" t="s">
        <v>197</v>
      </c>
      <c r="C79" s="81" t="s">
        <v>230</v>
      </c>
      <c r="D79" s="128" t="s">
        <v>165</v>
      </c>
      <c r="E79" s="170"/>
      <c r="F79" s="39"/>
      <c r="G79" s="39"/>
      <c r="H79" s="35">
        <f>+G79-F79</f>
        <v>0</v>
      </c>
      <c r="I79" s="50">
        <f>+ROUND(IF(H79&gt;0,H79*E79,0),4)</f>
        <v>0</v>
      </c>
    </row>
    <row r="80" spans="1:17" ht="15" customHeight="1" x14ac:dyDescent="0.25">
      <c r="A80" s="199"/>
      <c r="B80" s="200"/>
      <c r="C80" s="81" t="s">
        <v>231</v>
      </c>
      <c r="D80" s="128" t="s">
        <v>166</v>
      </c>
      <c r="E80" s="170"/>
      <c r="F80" s="39"/>
      <c r="G80" s="39"/>
      <c r="H80" s="35">
        <f>+G80-F80</f>
        <v>0</v>
      </c>
      <c r="I80" s="50">
        <f>+ROUND(IF(H80&gt;0,H80*E80,0),4)</f>
        <v>0</v>
      </c>
    </row>
    <row r="81" spans="1:13" ht="15" customHeight="1" x14ac:dyDescent="0.25">
      <c r="A81" s="199"/>
      <c r="B81" s="200"/>
      <c r="C81" s="81" t="s">
        <v>163</v>
      </c>
      <c r="D81" s="200" t="s">
        <v>249</v>
      </c>
      <c r="E81" s="201"/>
      <c r="F81" s="39"/>
      <c r="G81" s="39"/>
      <c r="H81" s="35" t="s">
        <v>67</v>
      </c>
      <c r="I81" s="35" t="s">
        <v>67</v>
      </c>
      <c r="K81" s="159"/>
      <c r="M81" s="40">
        <f>ROUND(O77*M78*1.2,2)</f>
        <v>0</v>
      </c>
    </row>
    <row r="82" spans="1:13" ht="15" customHeight="1" x14ac:dyDescent="0.25">
      <c r="A82" s="199"/>
      <c r="B82" s="200"/>
      <c r="C82" s="81" t="s">
        <v>164</v>
      </c>
      <c r="D82" s="200"/>
      <c r="E82" s="201"/>
      <c r="F82" s="39"/>
      <c r="G82" s="39"/>
      <c r="H82" s="35" t="s">
        <v>67</v>
      </c>
      <c r="I82" s="35" t="s">
        <v>67</v>
      </c>
    </row>
    <row r="83" spans="1:13" ht="15" customHeight="1" x14ac:dyDescent="0.25">
      <c r="A83" s="199"/>
      <c r="B83" s="200"/>
      <c r="C83" s="81" t="s">
        <v>168</v>
      </c>
      <c r="D83" s="200"/>
      <c r="E83" s="201"/>
      <c r="F83" s="35">
        <f>+F81+F82</f>
        <v>0</v>
      </c>
      <c r="G83" s="35">
        <f t="shared" ref="G83" si="26">+G81+G82</f>
        <v>0</v>
      </c>
      <c r="H83" s="35">
        <f>+G83-F83</f>
        <v>0</v>
      </c>
      <c r="I83" s="50">
        <f>+ROUND(IF(H83&gt;0,H83*E81,0),4)</f>
        <v>0</v>
      </c>
    </row>
    <row r="84" spans="1:13" ht="15" customHeight="1" x14ac:dyDescent="0.25">
      <c r="A84" s="199" t="s">
        <v>64</v>
      </c>
      <c r="B84" s="200" t="s">
        <v>171</v>
      </c>
      <c r="C84" s="81" t="s">
        <v>230</v>
      </c>
      <c r="D84" s="128" t="s">
        <v>165</v>
      </c>
      <c r="E84" s="173"/>
      <c r="F84" s="39"/>
      <c r="G84" s="39"/>
      <c r="H84" s="35">
        <f>+G84-F84</f>
        <v>0</v>
      </c>
      <c r="I84" s="50">
        <f t="shared" ref="I84:I85" si="27">+ROUND(IF(H84&gt;0,H84*E84,0),4)</f>
        <v>0</v>
      </c>
    </row>
    <row r="85" spans="1:13" ht="15" customHeight="1" x14ac:dyDescent="0.25">
      <c r="A85" s="199"/>
      <c r="B85" s="200"/>
      <c r="C85" s="81" t="s">
        <v>231</v>
      </c>
      <c r="D85" s="128" t="s">
        <v>166</v>
      </c>
      <c r="E85" s="173"/>
      <c r="F85" s="39"/>
      <c r="G85" s="39"/>
      <c r="H85" s="35">
        <f>+G85-F85</f>
        <v>0</v>
      </c>
      <c r="I85" s="50">
        <f t="shared" si="27"/>
        <v>0</v>
      </c>
    </row>
    <row r="86" spans="1:13" ht="15" customHeight="1" x14ac:dyDescent="0.25">
      <c r="A86" s="199"/>
      <c r="B86" s="200"/>
      <c r="C86" s="81" t="s">
        <v>163</v>
      </c>
      <c r="D86" s="200" t="s">
        <v>249</v>
      </c>
      <c r="E86" s="201"/>
      <c r="F86" s="39"/>
      <c r="G86" s="39"/>
      <c r="H86" s="35" t="s">
        <v>67</v>
      </c>
      <c r="I86" s="35" t="s">
        <v>67</v>
      </c>
      <c r="J86" s="41"/>
      <c r="K86" s="41"/>
    </row>
    <row r="87" spans="1:13" s="41" customFormat="1" x14ac:dyDescent="0.25">
      <c r="A87" s="199"/>
      <c r="B87" s="200"/>
      <c r="C87" s="81" t="s">
        <v>164</v>
      </c>
      <c r="D87" s="200"/>
      <c r="E87" s="201"/>
      <c r="F87" s="39"/>
      <c r="G87" s="39"/>
      <c r="H87" s="35" t="s">
        <v>67</v>
      </c>
      <c r="I87" s="35" t="s">
        <v>67</v>
      </c>
      <c r="J87" s="40"/>
      <c r="K87" s="40"/>
    </row>
    <row r="88" spans="1:13" x14ac:dyDescent="0.25">
      <c r="A88" s="199"/>
      <c r="B88" s="200"/>
      <c r="C88" s="81" t="s">
        <v>168</v>
      </c>
      <c r="D88" s="200"/>
      <c r="E88" s="201"/>
      <c r="F88" s="35">
        <f>+F86+F87</f>
        <v>0</v>
      </c>
      <c r="G88" s="35">
        <f t="shared" ref="G88" si="28">+G86+G87</f>
        <v>0</v>
      </c>
      <c r="H88" s="35">
        <f>+G88-F88</f>
        <v>0</v>
      </c>
      <c r="I88" s="50">
        <f>+ROUND(IF(H88&gt;0,H88*E86,0),4)</f>
        <v>0</v>
      </c>
    </row>
    <row r="89" spans="1:13" ht="15" customHeight="1" x14ac:dyDescent="0.25">
      <c r="A89" s="199" t="s">
        <v>64</v>
      </c>
      <c r="B89" s="200" t="s">
        <v>196</v>
      </c>
      <c r="C89" s="81" t="s">
        <v>230</v>
      </c>
      <c r="D89" s="128" t="s">
        <v>165</v>
      </c>
      <c r="E89" s="170"/>
      <c r="F89" s="39"/>
      <c r="G89" s="39"/>
      <c r="H89" s="35">
        <f>+G89-F89</f>
        <v>0</v>
      </c>
      <c r="I89" s="50">
        <f t="shared" ref="I89:I90" si="29">+ROUND(IF(H89&gt;0,H89*E89,0),4)</f>
        <v>0</v>
      </c>
    </row>
    <row r="90" spans="1:13" ht="15" customHeight="1" x14ac:dyDescent="0.25">
      <c r="A90" s="199"/>
      <c r="B90" s="200"/>
      <c r="C90" s="81" t="s">
        <v>231</v>
      </c>
      <c r="D90" s="128" t="s">
        <v>166</v>
      </c>
      <c r="E90" s="170"/>
      <c r="F90" s="39"/>
      <c r="G90" s="39"/>
      <c r="H90" s="35">
        <f>+G90-F90</f>
        <v>0</v>
      </c>
      <c r="I90" s="50">
        <f t="shared" si="29"/>
        <v>0</v>
      </c>
    </row>
    <row r="91" spans="1:13" x14ac:dyDescent="0.25">
      <c r="A91" s="199"/>
      <c r="B91" s="200"/>
      <c r="C91" s="81" t="s">
        <v>163</v>
      </c>
      <c r="D91" s="200" t="s">
        <v>249</v>
      </c>
      <c r="E91" s="201"/>
      <c r="F91" s="39"/>
      <c r="G91" s="39"/>
      <c r="H91" s="35" t="s">
        <v>67</v>
      </c>
      <c r="I91" s="35" t="s">
        <v>67</v>
      </c>
    </row>
    <row r="92" spans="1:13" x14ac:dyDescent="0.25">
      <c r="A92" s="199"/>
      <c r="B92" s="200"/>
      <c r="C92" s="81" t="s">
        <v>164</v>
      </c>
      <c r="D92" s="200"/>
      <c r="E92" s="201"/>
      <c r="F92" s="39"/>
      <c r="G92" s="39"/>
      <c r="H92" s="35" t="s">
        <v>67</v>
      </c>
      <c r="I92" s="35" t="s">
        <v>67</v>
      </c>
    </row>
    <row r="93" spans="1:13" x14ac:dyDescent="0.25">
      <c r="A93" s="199"/>
      <c r="B93" s="200"/>
      <c r="C93" s="81" t="s">
        <v>168</v>
      </c>
      <c r="D93" s="200"/>
      <c r="E93" s="201"/>
      <c r="F93" s="35">
        <f>+F91+F92</f>
        <v>0</v>
      </c>
      <c r="G93" s="35">
        <f t="shared" ref="G93" si="30">+G91+G92</f>
        <v>0</v>
      </c>
      <c r="H93" s="35">
        <f>+G93-F93</f>
        <v>0</v>
      </c>
      <c r="I93" s="50">
        <f>+ROUND(IF(H93&gt;0,H93*E91,0),4)</f>
        <v>0</v>
      </c>
    </row>
    <row r="94" spans="1:13" ht="15" customHeight="1" x14ac:dyDescent="0.25">
      <c r="A94" s="199" t="s">
        <v>64</v>
      </c>
      <c r="B94" s="200" t="s">
        <v>195</v>
      </c>
      <c r="C94" s="81" t="s">
        <v>230</v>
      </c>
      <c r="D94" s="128" t="s">
        <v>165</v>
      </c>
      <c r="E94" s="170"/>
      <c r="F94" s="39"/>
      <c r="G94" s="39"/>
      <c r="H94" s="35">
        <f>+G94-F94</f>
        <v>0</v>
      </c>
      <c r="I94" s="50">
        <f>+ROUND(IF(H94&gt;0,H94*E94,0),4)</f>
        <v>0</v>
      </c>
    </row>
    <row r="95" spans="1:13" ht="15" customHeight="1" x14ac:dyDescent="0.25">
      <c r="A95" s="199"/>
      <c r="B95" s="200"/>
      <c r="C95" s="81" t="s">
        <v>231</v>
      </c>
      <c r="D95" s="128" t="s">
        <v>166</v>
      </c>
      <c r="E95" s="170"/>
      <c r="F95" s="39"/>
      <c r="G95" s="39"/>
      <c r="H95" s="35">
        <f>+G95-F95</f>
        <v>0</v>
      </c>
      <c r="I95" s="50">
        <f>+ROUND(IF(H95&gt;0,H95*E95,0),4)</f>
        <v>0</v>
      </c>
    </row>
    <row r="96" spans="1:13" x14ac:dyDescent="0.25">
      <c r="A96" s="199"/>
      <c r="B96" s="200"/>
      <c r="C96" s="81" t="s">
        <v>179</v>
      </c>
      <c r="D96" s="200" t="s">
        <v>249</v>
      </c>
      <c r="E96" s="201"/>
      <c r="F96" s="39"/>
      <c r="G96" s="39"/>
      <c r="H96" s="35" t="s">
        <v>67</v>
      </c>
      <c r="I96" s="35" t="s">
        <v>67</v>
      </c>
    </row>
    <row r="97" spans="1:9" x14ac:dyDescent="0.25">
      <c r="A97" s="199"/>
      <c r="B97" s="200"/>
      <c r="C97" s="81" t="s">
        <v>164</v>
      </c>
      <c r="D97" s="200"/>
      <c r="E97" s="201"/>
      <c r="F97" s="39"/>
      <c r="G97" s="39"/>
      <c r="H97" s="35" t="s">
        <v>67</v>
      </c>
      <c r="I97" s="35" t="s">
        <v>67</v>
      </c>
    </row>
    <row r="98" spans="1:9" x14ac:dyDescent="0.25">
      <c r="A98" s="199"/>
      <c r="B98" s="200"/>
      <c r="C98" s="81" t="s">
        <v>182</v>
      </c>
      <c r="D98" s="200"/>
      <c r="E98" s="201"/>
      <c r="F98" s="35">
        <f>+F96+F97</f>
        <v>0</v>
      </c>
      <c r="G98" s="35">
        <f t="shared" ref="G98" si="31">+G96+G97</f>
        <v>0</v>
      </c>
      <c r="H98" s="35">
        <f>+G98-F98</f>
        <v>0</v>
      </c>
      <c r="I98" s="50">
        <f>+ROUND(IF(H98&gt;0,H98*E96,0),4)</f>
        <v>0</v>
      </c>
    </row>
    <row r="99" spans="1:9" x14ac:dyDescent="0.25">
      <c r="A99" s="199"/>
      <c r="B99" s="200"/>
      <c r="C99" s="81" t="s">
        <v>180</v>
      </c>
      <c r="D99" s="200" t="s">
        <v>249</v>
      </c>
      <c r="E99" s="201"/>
      <c r="F99" s="39"/>
      <c r="G99" s="39"/>
      <c r="H99" s="35" t="s">
        <v>67</v>
      </c>
      <c r="I99" s="35" t="s">
        <v>67</v>
      </c>
    </row>
    <row r="100" spans="1:9" x14ac:dyDescent="0.25">
      <c r="A100" s="199"/>
      <c r="B100" s="200"/>
      <c r="C100" s="81" t="s">
        <v>164</v>
      </c>
      <c r="D100" s="200"/>
      <c r="E100" s="201"/>
      <c r="F100" s="39"/>
      <c r="G100" s="39"/>
      <c r="H100" s="35" t="s">
        <v>67</v>
      </c>
      <c r="I100" s="35" t="s">
        <v>67</v>
      </c>
    </row>
    <row r="101" spans="1:9" ht="15" customHeight="1" x14ac:dyDescent="0.25">
      <c r="A101" s="199"/>
      <c r="B101" s="200"/>
      <c r="C101" s="81" t="s">
        <v>181</v>
      </c>
      <c r="D101" s="200"/>
      <c r="E101" s="201"/>
      <c r="F101" s="35">
        <f>+F99+F100</f>
        <v>0</v>
      </c>
      <c r="G101" s="35">
        <f t="shared" ref="G101" si="32">+G99+G100</f>
        <v>0</v>
      </c>
      <c r="H101" s="35">
        <f>+G101-F101</f>
        <v>0</v>
      </c>
      <c r="I101" s="50">
        <f>+ROUND(IF(H101&gt;0,H101*E99,0),4)</f>
        <v>0</v>
      </c>
    </row>
    <row r="102" spans="1:9" x14ac:dyDescent="0.25">
      <c r="A102" s="199" t="s">
        <v>64</v>
      </c>
      <c r="B102" s="200" t="s">
        <v>194</v>
      </c>
      <c r="C102" s="81" t="s">
        <v>230</v>
      </c>
      <c r="D102" s="128" t="s">
        <v>165</v>
      </c>
      <c r="E102" s="170"/>
      <c r="F102" s="39"/>
      <c r="G102" s="39"/>
      <c r="H102" s="35">
        <f>+G102-F102</f>
        <v>0</v>
      </c>
      <c r="I102" s="50">
        <f t="shared" ref="I102" si="33">+ROUND(IF(H102&gt;0,H102*E102,0),4)</f>
        <v>0</v>
      </c>
    </row>
    <row r="103" spans="1:9" x14ac:dyDescent="0.25">
      <c r="A103" s="199"/>
      <c r="B103" s="200"/>
      <c r="C103" s="81" t="s">
        <v>231</v>
      </c>
      <c r="D103" s="128" t="s">
        <v>166</v>
      </c>
      <c r="E103" s="170"/>
      <c r="F103" s="39"/>
      <c r="G103" s="39"/>
      <c r="H103" s="35">
        <f>+G103-F103</f>
        <v>0</v>
      </c>
      <c r="I103" s="50">
        <f>+ROUND(IF(H103&gt;0,H103*E103,0),4)</f>
        <v>0</v>
      </c>
    </row>
    <row r="104" spans="1:9" x14ac:dyDescent="0.25">
      <c r="A104" s="199"/>
      <c r="B104" s="200"/>
      <c r="C104" s="81" t="s">
        <v>179</v>
      </c>
      <c r="D104" s="200" t="s">
        <v>249</v>
      </c>
      <c r="E104" s="201"/>
      <c r="F104" s="39"/>
      <c r="G104" s="39"/>
      <c r="H104" s="35" t="s">
        <v>67</v>
      </c>
      <c r="I104" s="35" t="s">
        <v>67</v>
      </c>
    </row>
    <row r="105" spans="1:9" x14ac:dyDescent="0.25">
      <c r="A105" s="199"/>
      <c r="B105" s="200"/>
      <c r="C105" s="81" t="s">
        <v>164</v>
      </c>
      <c r="D105" s="200"/>
      <c r="E105" s="201"/>
      <c r="F105" s="39"/>
      <c r="G105" s="39"/>
      <c r="H105" s="35" t="s">
        <v>67</v>
      </c>
      <c r="I105" s="35" t="s">
        <v>67</v>
      </c>
    </row>
    <row r="106" spans="1:9" x14ac:dyDescent="0.25">
      <c r="A106" s="199"/>
      <c r="B106" s="200"/>
      <c r="C106" s="81" t="s">
        <v>182</v>
      </c>
      <c r="D106" s="200"/>
      <c r="E106" s="201"/>
      <c r="F106" s="35">
        <f>+F104+F105</f>
        <v>0</v>
      </c>
      <c r="G106" s="35">
        <f t="shared" ref="G106" si="34">+G104+G105</f>
        <v>0</v>
      </c>
      <c r="H106" s="35">
        <f>+G106-F106</f>
        <v>0</v>
      </c>
      <c r="I106" s="50">
        <f>+ROUND(IF(H106&gt;0,H106*E104,0),4)</f>
        <v>0</v>
      </c>
    </row>
    <row r="107" spans="1:9" x14ac:dyDescent="0.25">
      <c r="A107" s="199"/>
      <c r="B107" s="200"/>
      <c r="C107" s="81" t="s">
        <v>180</v>
      </c>
      <c r="D107" s="200" t="s">
        <v>249</v>
      </c>
      <c r="E107" s="201"/>
      <c r="F107" s="39"/>
      <c r="G107" s="39"/>
      <c r="H107" s="35" t="s">
        <v>67</v>
      </c>
      <c r="I107" s="35" t="s">
        <v>67</v>
      </c>
    </row>
    <row r="108" spans="1:9" x14ac:dyDescent="0.25">
      <c r="A108" s="199"/>
      <c r="B108" s="200"/>
      <c r="C108" s="81" t="s">
        <v>164</v>
      </c>
      <c r="D108" s="200"/>
      <c r="E108" s="201"/>
      <c r="F108" s="39"/>
      <c r="G108" s="39"/>
      <c r="H108" s="35" t="s">
        <v>67</v>
      </c>
      <c r="I108" s="35" t="s">
        <v>67</v>
      </c>
    </row>
    <row r="109" spans="1:9" x14ac:dyDescent="0.25">
      <c r="A109" s="199"/>
      <c r="B109" s="200"/>
      <c r="C109" s="81" t="s">
        <v>181</v>
      </c>
      <c r="D109" s="200"/>
      <c r="E109" s="201"/>
      <c r="F109" s="35">
        <f>+F107+F108</f>
        <v>0</v>
      </c>
      <c r="G109" s="35">
        <f t="shared" ref="G109" si="35">+G107+G108</f>
        <v>0</v>
      </c>
      <c r="H109" s="35">
        <f>+G109-F109</f>
        <v>0</v>
      </c>
      <c r="I109" s="50">
        <f>+ROUND(IF(H109&gt;0,H109*E107,0),4)</f>
        <v>0</v>
      </c>
    </row>
    <row r="110" spans="1:9" x14ac:dyDescent="0.25">
      <c r="A110" s="199" t="s">
        <v>64</v>
      </c>
      <c r="B110" s="200" t="s">
        <v>193</v>
      </c>
      <c r="C110" s="81" t="s">
        <v>230</v>
      </c>
      <c r="D110" s="128" t="s">
        <v>165</v>
      </c>
      <c r="E110" s="170"/>
      <c r="F110" s="39"/>
      <c r="G110" s="39"/>
      <c r="H110" s="35">
        <f>+G110-F110</f>
        <v>0</v>
      </c>
      <c r="I110" s="50">
        <f>+ROUND(IF(H110&gt;0,H110*E110,0),4)</f>
        <v>0</v>
      </c>
    </row>
    <row r="111" spans="1:9" x14ac:dyDescent="0.25">
      <c r="A111" s="199"/>
      <c r="B111" s="200"/>
      <c r="C111" s="81" t="s">
        <v>231</v>
      </c>
      <c r="D111" s="128" t="s">
        <v>166</v>
      </c>
      <c r="E111" s="170"/>
      <c r="F111" s="39"/>
      <c r="G111" s="39"/>
      <c r="H111" s="35">
        <f>+G111-F111</f>
        <v>0</v>
      </c>
      <c r="I111" s="50">
        <f>+ROUND(IF(H111&gt;0,H111*E111,0),4)</f>
        <v>0</v>
      </c>
    </row>
    <row r="112" spans="1:9" x14ac:dyDescent="0.25">
      <c r="A112" s="199"/>
      <c r="B112" s="200"/>
      <c r="C112" s="81" t="s">
        <v>179</v>
      </c>
      <c r="D112" s="200" t="s">
        <v>249</v>
      </c>
      <c r="E112" s="201"/>
      <c r="F112" s="39"/>
      <c r="G112" s="39"/>
      <c r="H112" s="35" t="s">
        <v>67</v>
      </c>
      <c r="I112" s="35" t="s">
        <v>67</v>
      </c>
    </row>
    <row r="113" spans="1:9" x14ac:dyDescent="0.25">
      <c r="A113" s="199"/>
      <c r="B113" s="200"/>
      <c r="C113" s="81" t="s">
        <v>164</v>
      </c>
      <c r="D113" s="200"/>
      <c r="E113" s="201"/>
      <c r="F113" s="39"/>
      <c r="G113" s="39"/>
      <c r="H113" s="35" t="s">
        <v>67</v>
      </c>
      <c r="I113" s="35" t="s">
        <v>67</v>
      </c>
    </row>
    <row r="114" spans="1:9" x14ac:dyDescent="0.25">
      <c r="A114" s="199"/>
      <c r="B114" s="200"/>
      <c r="C114" s="81" t="s">
        <v>182</v>
      </c>
      <c r="D114" s="200"/>
      <c r="E114" s="201"/>
      <c r="F114" s="35">
        <f>+F112+F113</f>
        <v>0</v>
      </c>
      <c r="G114" s="35">
        <f t="shared" ref="G114" si="36">+G112+G113</f>
        <v>0</v>
      </c>
      <c r="H114" s="35">
        <f>+G114-F114</f>
        <v>0</v>
      </c>
      <c r="I114" s="50">
        <f>+ROUND(IF(H114&gt;0,H114*E112,0),4)</f>
        <v>0</v>
      </c>
    </row>
    <row r="115" spans="1:9" x14ac:dyDescent="0.25">
      <c r="A115" s="199"/>
      <c r="B115" s="200"/>
      <c r="C115" s="81" t="s">
        <v>180</v>
      </c>
      <c r="D115" s="200" t="s">
        <v>249</v>
      </c>
      <c r="E115" s="201"/>
      <c r="F115" s="39"/>
      <c r="G115" s="39"/>
      <c r="H115" s="35" t="s">
        <v>67</v>
      </c>
      <c r="I115" s="35" t="s">
        <v>67</v>
      </c>
    </row>
    <row r="116" spans="1:9" x14ac:dyDescent="0.25">
      <c r="A116" s="199"/>
      <c r="B116" s="200"/>
      <c r="C116" s="81" t="s">
        <v>164</v>
      </c>
      <c r="D116" s="200"/>
      <c r="E116" s="201"/>
      <c r="F116" s="39"/>
      <c r="G116" s="39"/>
      <c r="H116" s="35" t="s">
        <v>67</v>
      </c>
      <c r="I116" s="35" t="s">
        <v>67</v>
      </c>
    </row>
    <row r="117" spans="1:9" x14ac:dyDescent="0.25">
      <c r="A117" s="199"/>
      <c r="B117" s="200"/>
      <c r="C117" s="81" t="s">
        <v>181</v>
      </c>
      <c r="D117" s="200"/>
      <c r="E117" s="201"/>
      <c r="F117" s="35">
        <f>+F115+F116</f>
        <v>0</v>
      </c>
      <c r="G117" s="35">
        <f t="shared" ref="G117" si="37">+G115+G116</f>
        <v>0</v>
      </c>
      <c r="H117" s="35">
        <f>+G117-F117</f>
        <v>0</v>
      </c>
      <c r="I117" s="50">
        <f>+ROUND(IF(H117&gt;0,H117*E115,0),4)</f>
        <v>0</v>
      </c>
    </row>
    <row r="118" spans="1:9" x14ac:dyDescent="0.25">
      <c r="A118" s="199" t="s">
        <v>64</v>
      </c>
      <c r="B118" s="200" t="s">
        <v>192</v>
      </c>
      <c r="C118" s="81" t="s">
        <v>230</v>
      </c>
      <c r="D118" s="128" t="s">
        <v>165</v>
      </c>
      <c r="E118" s="170"/>
      <c r="F118" s="39"/>
      <c r="G118" s="39"/>
      <c r="H118" s="35">
        <f>+G118-F118</f>
        <v>0</v>
      </c>
      <c r="I118" s="50">
        <f>+ROUND(IF(H118&gt;0,H118*E118,0),4)</f>
        <v>0</v>
      </c>
    </row>
    <row r="119" spans="1:9" x14ac:dyDescent="0.25">
      <c r="A119" s="199"/>
      <c r="B119" s="200"/>
      <c r="C119" s="81" t="s">
        <v>231</v>
      </c>
      <c r="D119" s="128" t="s">
        <v>166</v>
      </c>
      <c r="E119" s="170"/>
      <c r="F119" s="39"/>
      <c r="G119" s="39"/>
      <c r="H119" s="35">
        <f>+G119-F119</f>
        <v>0</v>
      </c>
      <c r="I119" s="50">
        <f>+ROUND(IF(H119&gt;0,H119*E119,0),4)</f>
        <v>0</v>
      </c>
    </row>
    <row r="120" spans="1:9" x14ac:dyDescent="0.25">
      <c r="A120" s="199"/>
      <c r="B120" s="200"/>
      <c r="C120" s="81" t="s">
        <v>179</v>
      </c>
      <c r="D120" s="200" t="s">
        <v>249</v>
      </c>
      <c r="E120" s="201"/>
      <c r="F120" s="39"/>
      <c r="G120" s="39"/>
      <c r="H120" s="35" t="s">
        <v>67</v>
      </c>
      <c r="I120" s="35" t="s">
        <v>67</v>
      </c>
    </row>
    <row r="121" spans="1:9" x14ac:dyDescent="0.25">
      <c r="A121" s="199"/>
      <c r="B121" s="200"/>
      <c r="C121" s="81" t="s">
        <v>164</v>
      </c>
      <c r="D121" s="200"/>
      <c r="E121" s="201"/>
      <c r="F121" s="39"/>
      <c r="G121" s="39"/>
      <c r="H121" s="35" t="s">
        <v>67</v>
      </c>
      <c r="I121" s="35" t="s">
        <v>67</v>
      </c>
    </row>
    <row r="122" spans="1:9" x14ac:dyDescent="0.25">
      <c r="A122" s="199"/>
      <c r="B122" s="200"/>
      <c r="C122" s="81" t="s">
        <v>182</v>
      </c>
      <c r="D122" s="200"/>
      <c r="E122" s="201"/>
      <c r="F122" s="35">
        <f>+F120+F121</f>
        <v>0</v>
      </c>
      <c r="G122" s="35">
        <f t="shared" ref="G122" si="38">+G120+G121</f>
        <v>0</v>
      </c>
      <c r="H122" s="35">
        <f>+G122-F122</f>
        <v>0</v>
      </c>
      <c r="I122" s="50">
        <f>+ROUND(IF(H122&gt;0,H122*E120,0),4)</f>
        <v>0</v>
      </c>
    </row>
    <row r="123" spans="1:9" x14ac:dyDescent="0.25">
      <c r="A123" s="199"/>
      <c r="B123" s="200"/>
      <c r="C123" s="81" t="s">
        <v>180</v>
      </c>
      <c r="D123" s="200" t="s">
        <v>249</v>
      </c>
      <c r="E123" s="201"/>
      <c r="F123" s="39"/>
      <c r="G123" s="39"/>
      <c r="H123" s="35" t="s">
        <v>67</v>
      </c>
      <c r="I123" s="35" t="s">
        <v>67</v>
      </c>
    </row>
    <row r="124" spans="1:9" x14ac:dyDescent="0.25">
      <c r="A124" s="199"/>
      <c r="B124" s="200"/>
      <c r="C124" s="81" t="s">
        <v>164</v>
      </c>
      <c r="D124" s="200"/>
      <c r="E124" s="201"/>
      <c r="F124" s="39"/>
      <c r="G124" s="39"/>
      <c r="H124" s="35" t="s">
        <v>67</v>
      </c>
      <c r="I124" s="35" t="s">
        <v>67</v>
      </c>
    </row>
    <row r="125" spans="1:9" x14ac:dyDescent="0.25">
      <c r="A125" s="199"/>
      <c r="B125" s="200"/>
      <c r="C125" s="81" t="s">
        <v>181</v>
      </c>
      <c r="D125" s="200"/>
      <c r="E125" s="201"/>
      <c r="F125" s="35">
        <f>+F123+F124</f>
        <v>0</v>
      </c>
      <c r="G125" s="35">
        <f t="shared" ref="G125" si="39">+G123+G124</f>
        <v>0</v>
      </c>
      <c r="H125" s="35">
        <f>+G125-F125</f>
        <v>0</v>
      </c>
      <c r="I125" s="50">
        <f>+ROUND(IF(H125&gt;0,H125*E123,0),4)</f>
        <v>0</v>
      </c>
    </row>
    <row r="126" spans="1:9" x14ac:dyDescent="0.25">
      <c r="A126" s="199" t="s">
        <v>64</v>
      </c>
      <c r="B126" s="200" t="s">
        <v>191</v>
      </c>
      <c r="C126" s="81" t="s">
        <v>230</v>
      </c>
      <c r="D126" s="128" t="s">
        <v>165</v>
      </c>
      <c r="E126" s="170"/>
      <c r="F126" s="39"/>
      <c r="G126" s="39"/>
      <c r="H126" s="35">
        <f>+G126-F126</f>
        <v>0</v>
      </c>
      <c r="I126" s="50">
        <f>+ROUND(IF(H126&gt;0,H126*E126,0),4)</f>
        <v>0</v>
      </c>
    </row>
    <row r="127" spans="1:9" x14ac:dyDescent="0.25">
      <c r="A127" s="199"/>
      <c r="B127" s="200"/>
      <c r="C127" s="81" t="s">
        <v>231</v>
      </c>
      <c r="D127" s="128" t="s">
        <v>166</v>
      </c>
      <c r="E127" s="170"/>
      <c r="F127" s="39"/>
      <c r="G127" s="39"/>
      <c r="H127" s="35">
        <f>+G127-F127</f>
        <v>0</v>
      </c>
      <c r="I127" s="50">
        <f>+ROUND(IF(H127&gt;0,H127*E127,0),4)</f>
        <v>0</v>
      </c>
    </row>
    <row r="128" spans="1:9" x14ac:dyDescent="0.25">
      <c r="A128" s="199"/>
      <c r="B128" s="200"/>
      <c r="C128" s="81" t="s">
        <v>179</v>
      </c>
      <c r="D128" s="200" t="s">
        <v>249</v>
      </c>
      <c r="E128" s="201"/>
      <c r="F128" s="39"/>
      <c r="G128" s="39"/>
      <c r="H128" s="35" t="s">
        <v>67</v>
      </c>
      <c r="I128" s="35" t="s">
        <v>67</v>
      </c>
    </row>
    <row r="129" spans="1:11" x14ac:dyDescent="0.25">
      <c r="A129" s="199"/>
      <c r="B129" s="200"/>
      <c r="C129" s="81" t="s">
        <v>164</v>
      </c>
      <c r="D129" s="200"/>
      <c r="E129" s="201"/>
      <c r="F129" s="39"/>
      <c r="G129" s="39"/>
      <c r="H129" s="35" t="s">
        <v>67</v>
      </c>
      <c r="I129" s="35" t="s">
        <v>67</v>
      </c>
    </row>
    <row r="130" spans="1:11" x14ac:dyDescent="0.25">
      <c r="A130" s="199"/>
      <c r="B130" s="200"/>
      <c r="C130" s="81" t="s">
        <v>182</v>
      </c>
      <c r="D130" s="200"/>
      <c r="E130" s="201"/>
      <c r="F130" s="35">
        <f>+F128+F129</f>
        <v>0</v>
      </c>
      <c r="G130" s="35">
        <f t="shared" ref="G130" si="40">+G128+G129</f>
        <v>0</v>
      </c>
      <c r="H130" s="35">
        <f>+G130-F130</f>
        <v>0</v>
      </c>
      <c r="I130" s="50">
        <f>+ROUND(IF(H130&gt;0,H130*E128,0),4)</f>
        <v>0</v>
      </c>
    </row>
    <row r="131" spans="1:11" x14ac:dyDescent="0.25">
      <c r="A131" s="199"/>
      <c r="B131" s="200"/>
      <c r="C131" s="81" t="s">
        <v>180</v>
      </c>
      <c r="D131" s="200" t="s">
        <v>249</v>
      </c>
      <c r="E131" s="201"/>
      <c r="F131" s="39"/>
      <c r="G131" s="39"/>
      <c r="H131" s="35" t="s">
        <v>67</v>
      </c>
      <c r="I131" s="35" t="s">
        <v>67</v>
      </c>
    </row>
    <row r="132" spans="1:11" x14ac:dyDescent="0.25">
      <c r="A132" s="199"/>
      <c r="B132" s="200"/>
      <c r="C132" s="81" t="s">
        <v>164</v>
      </c>
      <c r="D132" s="200"/>
      <c r="E132" s="201"/>
      <c r="F132" s="39"/>
      <c r="G132" s="39"/>
      <c r="H132" s="35" t="s">
        <v>67</v>
      </c>
      <c r="I132" s="35" t="s">
        <v>67</v>
      </c>
    </row>
    <row r="133" spans="1:11" x14ac:dyDescent="0.25">
      <c r="A133" s="199"/>
      <c r="B133" s="200"/>
      <c r="C133" s="81" t="s">
        <v>181</v>
      </c>
      <c r="D133" s="200"/>
      <c r="E133" s="201"/>
      <c r="F133" s="35">
        <f>+F131+F132</f>
        <v>0</v>
      </c>
      <c r="G133" s="35">
        <f t="shared" ref="G133" si="41">+G131+G132</f>
        <v>0</v>
      </c>
      <c r="H133" s="35">
        <f>+G133-F133</f>
        <v>0</v>
      </c>
      <c r="I133" s="50">
        <f>+ROUND(IF(H133&gt;0,H133*E131,0),4)</f>
        <v>0</v>
      </c>
    </row>
    <row r="134" spans="1:11" x14ac:dyDescent="0.25">
      <c r="A134" s="208" t="s">
        <v>64</v>
      </c>
      <c r="B134" s="211" t="s">
        <v>190</v>
      </c>
      <c r="C134" s="82" t="s">
        <v>162</v>
      </c>
      <c r="D134" s="129" t="s">
        <v>236</v>
      </c>
      <c r="E134" s="171"/>
      <c r="F134" s="46"/>
      <c r="G134" s="46"/>
      <c r="H134" s="36">
        <f>+G134-F134</f>
        <v>0</v>
      </c>
      <c r="I134" s="50">
        <f>+ROUND(IF(H134&gt;0,H134*E134,0),4)</f>
        <v>0</v>
      </c>
    </row>
    <row r="135" spans="1:11" x14ac:dyDescent="0.25">
      <c r="A135" s="208" t="s">
        <v>65</v>
      </c>
      <c r="B135" s="211"/>
      <c r="C135" s="82" t="s">
        <v>162</v>
      </c>
      <c r="D135" s="129" t="s">
        <v>238</v>
      </c>
      <c r="E135" s="171"/>
      <c r="F135" s="46"/>
      <c r="G135" s="46"/>
      <c r="H135" s="36">
        <f t="shared" ref="H135" si="42">+G135-F135</f>
        <v>0</v>
      </c>
      <c r="I135" s="50">
        <f t="shared" ref="I135:I137" si="43">+ROUND(IF(H135&gt;0,H135*E135,0),4)</f>
        <v>0</v>
      </c>
    </row>
    <row r="136" spans="1:11" x14ac:dyDescent="0.25">
      <c r="A136" s="199" t="s">
        <v>64</v>
      </c>
      <c r="B136" s="200" t="s">
        <v>189</v>
      </c>
      <c r="C136" s="81" t="s">
        <v>230</v>
      </c>
      <c r="D136" s="128" t="s">
        <v>165</v>
      </c>
      <c r="E136" s="170"/>
      <c r="F136" s="39"/>
      <c r="G136" s="39"/>
      <c r="H136" s="35">
        <f>+G136-F136</f>
        <v>0</v>
      </c>
      <c r="I136" s="50">
        <f t="shared" si="43"/>
        <v>0</v>
      </c>
    </row>
    <row r="137" spans="1:11" x14ac:dyDescent="0.25">
      <c r="A137" s="199"/>
      <c r="B137" s="200"/>
      <c r="C137" s="81" t="s">
        <v>231</v>
      </c>
      <c r="D137" s="128" t="s">
        <v>166</v>
      </c>
      <c r="E137" s="170"/>
      <c r="F137" s="39"/>
      <c r="G137" s="39"/>
      <c r="H137" s="35">
        <f>+G137-F137</f>
        <v>0</v>
      </c>
      <c r="I137" s="50">
        <f t="shared" si="43"/>
        <v>0</v>
      </c>
    </row>
    <row r="138" spans="1:11" x14ac:dyDescent="0.25">
      <c r="A138" s="199"/>
      <c r="B138" s="200"/>
      <c r="C138" s="81" t="s">
        <v>163</v>
      </c>
      <c r="D138" s="200" t="s">
        <v>249</v>
      </c>
      <c r="E138" s="201"/>
      <c r="F138" s="39"/>
      <c r="G138" s="39"/>
      <c r="H138" s="35" t="s">
        <v>67</v>
      </c>
      <c r="I138" s="35" t="s">
        <v>67</v>
      </c>
    </row>
    <row r="139" spans="1:11" x14ac:dyDescent="0.25">
      <c r="A139" s="199"/>
      <c r="B139" s="200"/>
      <c r="C139" s="81" t="s">
        <v>164</v>
      </c>
      <c r="D139" s="200"/>
      <c r="E139" s="201"/>
      <c r="F139" s="39"/>
      <c r="G139" s="39"/>
      <c r="H139" s="35" t="s">
        <v>67</v>
      </c>
      <c r="I139" s="35" t="s">
        <v>67</v>
      </c>
    </row>
    <row r="140" spans="1:11" x14ac:dyDescent="0.25">
      <c r="A140" s="199"/>
      <c r="B140" s="200"/>
      <c r="C140" s="81" t="s">
        <v>168</v>
      </c>
      <c r="D140" s="200"/>
      <c r="E140" s="201"/>
      <c r="F140" s="35">
        <f>+F138+F139</f>
        <v>0</v>
      </c>
      <c r="G140" s="35">
        <f t="shared" ref="G140" si="44">+G138+G139</f>
        <v>0</v>
      </c>
      <c r="H140" s="35">
        <f>+G140-F140</f>
        <v>0</v>
      </c>
      <c r="I140" s="50">
        <f>+ROUND(IF(H140&gt;0,H140*E138,0),4)</f>
        <v>0</v>
      </c>
      <c r="J140" s="47"/>
      <c r="K140" s="47"/>
    </row>
    <row r="141" spans="1:11" s="47" customFormat="1" x14ac:dyDescent="0.25">
      <c r="A141" s="218" t="s">
        <v>64</v>
      </c>
      <c r="B141" s="221" t="s">
        <v>187</v>
      </c>
      <c r="C141" s="83" t="s">
        <v>162</v>
      </c>
      <c r="D141" s="128" t="s">
        <v>236</v>
      </c>
      <c r="E141" s="173"/>
      <c r="F141" s="39"/>
      <c r="G141" s="39"/>
      <c r="H141" s="35">
        <f>+G141-F141</f>
        <v>0</v>
      </c>
      <c r="I141" s="50">
        <f>+ROUND(IF(H141&gt;0,H141*E141,0),4)</f>
        <v>0</v>
      </c>
    </row>
    <row r="142" spans="1:11" s="47" customFormat="1" x14ac:dyDescent="0.25">
      <c r="A142" s="219"/>
      <c r="B142" s="222"/>
      <c r="C142" s="83" t="s">
        <v>230</v>
      </c>
      <c r="D142" s="128" t="s">
        <v>165</v>
      </c>
      <c r="E142" s="173"/>
      <c r="F142" s="39"/>
      <c r="G142" s="39"/>
      <c r="H142" s="35">
        <f>+G142-F142</f>
        <v>0</v>
      </c>
      <c r="I142" s="50">
        <f>+ROUND(IF(H142&gt;0,H142*E142,0),4)</f>
        <v>0</v>
      </c>
    </row>
    <row r="143" spans="1:11" s="47" customFormat="1" x14ac:dyDescent="0.25">
      <c r="A143" s="219"/>
      <c r="B143" s="222"/>
      <c r="C143" s="83" t="s">
        <v>231</v>
      </c>
      <c r="D143" s="130" t="s">
        <v>166</v>
      </c>
      <c r="E143" s="173"/>
      <c r="F143" s="39"/>
      <c r="G143" s="39"/>
      <c r="H143" s="35">
        <f>+G143-F143</f>
        <v>0</v>
      </c>
      <c r="I143" s="50">
        <f>+ROUND(IF(H143&gt;0,H143*E143,0),4)</f>
        <v>0</v>
      </c>
      <c r="J143" s="40"/>
      <c r="K143" s="40"/>
    </row>
    <row r="144" spans="1:11" ht="14.45" customHeight="1" x14ac:dyDescent="0.25">
      <c r="A144" s="219"/>
      <c r="B144" s="222"/>
      <c r="C144" s="81" t="s">
        <v>163</v>
      </c>
      <c r="D144" s="200" t="s">
        <v>249</v>
      </c>
      <c r="E144" s="201"/>
      <c r="F144" s="39"/>
      <c r="G144" s="39"/>
      <c r="H144" s="35" t="s">
        <v>67</v>
      </c>
      <c r="I144" s="35" t="s">
        <v>67</v>
      </c>
    </row>
    <row r="145" spans="1:9" x14ac:dyDescent="0.25">
      <c r="A145" s="219"/>
      <c r="B145" s="222"/>
      <c r="C145" s="81" t="s">
        <v>164</v>
      </c>
      <c r="D145" s="200"/>
      <c r="E145" s="201"/>
      <c r="F145" s="39"/>
      <c r="G145" s="39"/>
      <c r="H145" s="35" t="s">
        <v>67</v>
      </c>
      <c r="I145" s="35" t="s">
        <v>67</v>
      </c>
    </row>
    <row r="146" spans="1:9" x14ac:dyDescent="0.25">
      <c r="A146" s="220"/>
      <c r="B146" s="223"/>
      <c r="C146" s="81" t="s">
        <v>168</v>
      </c>
      <c r="D146" s="200"/>
      <c r="E146" s="201"/>
      <c r="F146" s="35">
        <f>+F144+F145</f>
        <v>0</v>
      </c>
      <c r="G146" s="35">
        <f>+G144+G145</f>
        <v>0</v>
      </c>
      <c r="H146" s="35">
        <f>+G146-F146</f>
        <v>0</v>
      </c>
      <c r="I146" s="50">
        <f>+ROUND(IF(H146&gt;0,H146*E144,0),4)</f>
        <v>0</v>
      </c>
    </row>
    <row r="147" spans="1:9" x14ac:dyDescent="0.25">
      <c r="A147" s="199" t="s">
        <v>64</v>
      </c>
      <c r="B147" s="200" t="s">
        <v>232</v>
      </c>
      <c r="C147" s="81" t="s">
        <v>230</v>
      </c>
      <c r="D147" s="128" t="s">
        <v>165</v>
      </c>
      <c r="E147" s="170"/>
      <c r="F147" s="39"/>
      <c r="G147" s="39"/>
      <c r="H147" s="35">
        <f>+G147-F147</f>
        <v>0</v>
      </c>
      <c r="I147" s="50">
        <f t="shared" ref="I147" si="45">+ROUND(IF(H147&gt;0,H147*E147,0),4)</f>
        <v>0</v>
      </c>
    </row>
    <row r="148" spans="1:9" x14ac:dyDescent="0.25">
      <c r="A148" s="199"/>
      <c r="B148" s="200"/>
      <c r="C148" s="81" t="s">
        <v>231</v>
      </c>
      <c r="D148" s="128" t="s">
        <v>166</v>
      </c>
      <c r="E148" s="170"/>
      <c r="F148" s="39"/>
      <c r="G148" s="39"/>
      <c r="H148" s="35">
        <f>+G148-F148</f>
        <v>0</v>
      </c>
      <c r="I148" s="50">
        <f>+ROUND(IF(H148&gt;0,H148*E148,0),4)</f>
        <v>0</v>
      </c>
    </row>
    <row r="149" spans="1:9" x14ac:dyDescent="0.25">
      <c r="A149" s="199"/>
      <c r="B149" s="200"/>
      <c r="C149" s="81" t="s">
        <v>179</v>
      </c>
      <c r="D149" s="200" t="s">
        <v>249</v>
      </c>
      <c r="E149" s="201"/>
      <c r="F149" s="39"/>
      <c r="G149" s="39"/>
      <c r="H149" s="35" t="s">
        <v>67</v>
      </c>
      <c r="I149" s="35" t="s">
        <v>67</v>
      </c>
    </row>
    <row r="150" spans="1:9" x14ac:dyDescent="0.25">
      <c r="A150" s="199"/>
      <c r="B150" s="200"/>
      <c r="C150" s="81" t="s">
        <v>164</v>
      </c>
      <c r="D150" s="200"/>
      <c r="E150" s="201"/>
      <c r="F150" s="39"/>
      <c r="G150" s="39"/>
      <c r="H150" s="35" t="s">
        <v>67</v>
      </c>
      <c r="I150" s="35" t="s">
        <v>67</v>
      </c>
    </row>
    <row r="151" spans="1:9" x14ac:dyDescent="0.25">
      <c r="A151" s="199"/>
      <c r="B151" s="200"/>
      <c r="C151" s="81" t="s">
        <v>182</v>
      </c>
      <c r="D151" s="200"/>
      <c r="E151" s="201"/>
      <c r="F151" s="35">
        <f>+F149+F150</f>
        <v>0</v>
      </c>
      <c r="G151" s="35">
        <f t="shared" ref="G151" si="46">+G149+G150</f>
        <v>0</v>
      </c>
      <c r="H151" s="35">
        <f>+G151-F151</f>
        <v>0</v>
      </c>
      <c r="I151" s="50">
        <f>+ROUND(IF(H151&gt;0,H151*E149,0),4)</f>
        <v>0</v>
      </c>
    </row>
    <row r="152" spans="1:9" x14ac:dyDescent="0.25">
      <c r="A152" s="199"/>
      <c r="B152" s="200"/>
      <c r="C152" s="81" t="s">
        <v>180</v>
      </c>
      <c r="D152" s="200" t="s">
        <v>249</v>
      </c>
      <c r="E152" s="201"/>
      <c r="F152" s="39"/>
      <c r="G152" s="39"/>
      <c r="H152" s="35" t="s">
        <v>67</v>
      </c>
      <c r="I152" s="35" t="s">
        <v>67</v>
      </c>
    </row>
    <row r="153" spans="1:9" x14ac:dyDescent="0.25">
      <c r="A153" s="199"/>
      <c r="B153" s="200"/>
      <c r="C153" s="81" t="s">
        <v>164</v>
      </c>
      <c r="D153" s="200"/>
      <c r="E153" s="201"/>
      <c r="F153" s="39"/>
      <c r="G153" s="39"/>
      <c r="H153" s="35" t="s">
        <v>67</v>
      </c>
      <c r="I153" s="35" t="s">
        <v>67</v>
      </c>
    </row>
    <row r="154" spans="1:9" x14ac:dyDescent="0.25">
      <c r="A154" s="199"/>
      <c r="B154" s="200"/>
      <c r="C154" s="81" t="s">
        <v>181</v>
      </c>
      <c r="D154" s="200"/>
      <c r="E154" s="201"/>
      <c r="F154" s="35">
        <f>+F152+F153</f>
        <v>0</v>
      </c>
      <c r="G154" s="35">
        <f t="shared" ref="G154" si="47">+G152+G153</f>
        <v>0</v>
      </c>
      <c r="H154" s="35">
        <f>+G154-F154</f>
        <v>0</v>
      </c>
      <c r="I154" s="50">
        <f>+ROUND(IF(H154&gt;0,H154*E152,0),4)</f>
        <v>0</v>
      </c>
    </row>
    <row r="155" spans="1:9" x14ac:dyDescent="0.25">
      <c r="A155" s="199" t="s">
        <v>64</v>
      </c>
      <c r="B155" s="200" t="s">
        <v>233</v>
      </c>
      <c r="C155" s="81" t="s">
        <v>230</v>
      </c>
      <c r="D155" s="128" t="s">
        <v>165</v>
      </c>
      <c r="E155" s="170"/>
      <c r="F155" s="39"/>
      <c r="G155" s="39"/>
      <c r="H155" s="35">
        <f>+G155-F155</f>
        <v>0</v>
      </c>
      <c r="I155" s="50">
        <f t="shared" ref="I155:I156" si="48">+ROUND(IF(H155&gt;0,H155*E155,0),4)</f>
        <v>0</v>
      </c>
    </row>
    <row r="156" spans="1:9" x14ac:dyDescent="0.25">
      <c r="A156" s="199"/>
      <c r="B156" s="200"/>
      <c r="C156" s="81" t="s">
        <v>231</v>
      </c>
      <c r="D156" s="128" t="s">
        <v>166</v>
      </c>
      <c r="E156" s="170"/>
      <c r="F156" s="39"/>
      <c r="G156" s="39"/>
      <c r="H156" s="35">
        <f>+G156-F156</f>
        <v>0</v>
      </c>
      <c r="I156" s="50">
        <f t="shared" si="48"/>
        <v>0</v>
      </c>
    </row>
    <row r="157" spans="1:9" x14ac:dyDescent="0.25">
      <c r="A157" s="199"/>
      <c r="B157" s="200"/>
      <c r="C157" s="81" t="s">
        <v>226</v>
      </c>
      <c r="D157" s="200" t="s">
        <v>249</v>
      </c>
      <c r="E157" s="201"/>
      <c r="F157" s="39"/>
      <c r="G157" s="39"/>
      <c r="H157" s="35" t="s">
        <v>67</v>
      </c>
      <c r="I157" s="35" t="s">
        <v>67</v>
      </c>
    </row>
    <row r="158" spans="1:9" x14ac:dyDescent="0.25">
      <c r="A158" s="199"/>
      <c r="B158" s="200"/>
      <c r="C158" s="81" t="s">
        <v>164</v>
      </c>
      <c r="D158" s="200"/>
      <c r="E158" s="201"/>
      <c r="F158" s="39"/>
      <c r="G158" s="39"/>
      <c r="H158" s="35" t="s">
        <v>67</v>
      </c>
      <c r="I158" s="35" t="s">
        <v>67</v>
      </c>
    </row>
    <row r="159" spans="1:9" x14ac:dyDescent="0.25">
      <c r="A159" s="199"/>
      <c r="B159" s="200"/>
      <c r="C159" s="81" t="s">
        <v>227</v>
      </c>
      <c r="D159" s="200"/>
      <c r="E159" s="201"/>
      <c r="F159" s="35">
        <f>+F157+F158</f>
        <v>0</v>
      </c>
      <c r="G159" s="35">
        <f t="shared" ref="G159" si="49">+G157+G158</f>
        <v>0</v>
      </c>
      <c r="H159" s="35">
        <f>+G159-F159</f>
        <v>0</v>
      </c>
      <c r="I159" s="50">
        <f>+ROUND(IF(H159&gt;0,H159*E157,0),4)</f>
        <v>0</v>
      </c>
    </row>
    <row r="160" spans="1:9" x14ac:dyDescent="0.25">
      <c r="A160" s="199"/>
      <c r="B160" s="200"/>
      <c r="C160" s="81" t="s">
        <v>179</v>
      </c>
      <c r="D160" s="200" t="s">
        <v>249</v>
      </c>
      <c r="E160" s="201"/>
      <c r="F160" s="39"/>
      <c r="G160" s="39"/>
      <c r="H160" s="35" t="s">
        <v>67</v>
      </c>
      <c r="I160" s="35" t="s">
        <v>67</v>
      </c>
    </row>
    <row r="161" spans="1:18" x14ac:dyDescent="0.25">
      <c r="A161" s="199"/>
      <c r="B161" s="200"/>
      <c r="C161" s="81" t="s">
        <v>164</v>
      </c>
      <c r="D161" s="200"/>
      <c r="E161" s="201"/>
      <c r="F161" s="39"/>
      <c r="G161" s="39"/>
      <c r="H161" s="35" t="s">
        <v>67</v>
      </c>
      <c r="I161" s="35" t="s">
        <v>67</v>
      </c>
    </row>
    <row r="162" spans="1:18" x14ac:dyDescent="0.25">
      <c r="A162" s="199"/>
      <c r="B162" s="200"/>
      <c r="C162" s="81" t="s">
        <v>182</v>
      </c>
      <c r="D162" s="200"/>
      <c r="E162" s="201"/>
      <c r="F162" s="35">
        <f>+F160+F161</f>
        <v>0</v>
      </c>
      <c r="G162" s="35">
        <f t="shared" ref="G162" si="50">+G160+G161</f>
        <v>0</v>
      </c>
      <c r="H162" s="35">
        <f>+G162-F162</f>
        <v>0</v>
      </c>
      <c r="I162" s="50">
        <f>+ROUND(IF(H162&gt;0,H162*E160,0),4)</f>
        <v>0</v>
      </c>
    </row>
    <row r="163" spans="1:18" x14ac:dyDescent="0.25">
      <c r="A163" s="199"/>
      <c r="B163" s="200"/>
      <c r="C163" s="81" t="s">
        <v>180</v>
      </c>
      <c r="D163" s="200" t="s">
        <v>249</v>
      </c>
      <c r="E163" s="201"/>
      <c r="F163" s="39"/>
      <c r="G163" s="39"/>
      <c r="H163" s="35" t="s">
        <v>67</v>
      </c>
      <c r="I163" s="35" t="s">
        <v>67</v>
      </c>
    </row>
    <row r="164" spans="1:18" x14ac:dyDescent="0.25">
      <c r="A164" s="199"/>
      <c r="B164" s="200"/>
      <c r="C164" s="81" t="s">
        <v>164</v>
      </c>
      <c r="D164" s="200"/>
      <c r="E164" s="201"/>
      <c r="F164" s="39"/>
      <c r="G164" s="39"/>
      <c r="H164" s="35" t="s">
        <v>67</v>
      </c>
      <c r="I164" s="35" t="s">
        <v>67</v>
      </c>
    </row>
    <row r="165" spans="1:18" x14ac:dyDescent="0.25">
      <c r="A165" s="199"/>
      <c r="B165" s="200"/>
      <c r="C165" s="81" t="s">
        <v>181</v>
      </c>
      <c r="D165" s="200"/>
      <c r="E165" s="201"/>
      <c r="F165" s="35">
        <f>+F163+F164</f>
        <v>0</v>
      </c>
      <c r="G165" s="35">
        <f t="shared" ref="G165" si="51">+G163+G164</f>
        <v>0</v>
      </c>
      <c r="H165" s="35">
        <f>+G165-F165</f>
        <v>0</v>
      </c>
      <c r="I165" s="50">
        <f>+ROUND(IF(H165&gt;0,H165*E163,0),4)</f>
        <v>0</v>
      </c>
    </row>
    <row r="166" spans="1:18" x14ac:dyDescent="0.25">
      <c r="A166" s="199"/>
      <c r="B166" s="200"/>
      <c r="C166" s="81" t="s">
        <v>228</v>
      </c>
      <c r="D166" s="200" t="s">
        <v>249</v>
      </c>
      <c r="E166" s="201"/>
      <c r="F166" s="39"/>
      <c r="G166" s="39"/>
      <c r="H166" s="35" t="s">
        <v>67</v>
      </c>
      <c r="I166" s="35" t="s">
        <v>67</v>
      </c>
    </row>
    <row r="167" spans="1:18" x14ac:dyDescent="0.25">
      <c r="A167" s="199"/>
      <c r="B167" s="200"/>
      <c r="C167" s="81" t="s">
        <v>164</v>
      </c>
      <c r="D167" s="200"/>
      <c r="E167" s="201"/>
      <c r="F167" s="39"/>
      <c r="G167" s="39"/>
      <c r="H167" s="35" t="s">
        <v>67</v>
      </c>
      <c r="I167" s="35" t="s">
        <v>67</v>
      </c>
    </row>
    <row r="168" spans="1:18" ht="30" x14ac:dyDescent="0.25">
      <c r="A168" s="199"/>
      <c r="B168" s="200"/>
      <c r="C168" s="81" t="s">
        <v>229</v>
      </c>
      <c r="D168" s="200"/>
      <c r="E168" s="201"/>
      <c r="F168" s="35">
        <f>+F166+F167</f>
        <v>0</v>
      </c>
      <c r="G168" s="35">
        <f t="shared" ref="G168" si="52">+G166+G167</f>
        <v>0</v>
      </c>
      <c r="H168" s="35">
        <f>+G168-F168</f>
        <v>0</v>
      </c>
      <c r="I168" s="50">
        <f>+ROUND(IF(H168&gt;0,H168*E166,0),4)</f>
        <v>0</v>
      </c>
      <c r="J168" s="135" t="s">
        <v>276</v>
      </c>
    </row>
    <row r="169" spans="1:18" x14ac:dyDescent="0.25">
      <c r="A169" s="209" t="s">
        <v>64</v>
      </c>
      <c r="B169" s="210" t="s">
        <v>188</v>
      </c>
      <c r="C169" s="109" t="s">
        <v>162</v>
      </c>
      <c r="D169" s="122" t="s">
        <v>67</v>
      </c>
      <c r="E169" s="52"/>
      <c r="F169" s="52" t="s">
        <v>67</v>
      </c>
      <c r="G169" s="52" t="s">
        <v>67</v>
      </c>
      <c r="H169" s="52" t="s">
        <v>67</v>
      </c>
      <c r="I169" s="52">
        <f>N169</f>
        <v>0</v>
      </c>
      <c r="J169" s="158">
        <f>IFERROR(ROUND(P169,6),0)</f>
        <v>0</v>
      </c>
      <c r="N169" s="156">
        <f>ROUND(SUM(I79:I80,I84:I85,I89:I90,I94:I95,I102:I103,I110:I111,I118:I119,I126:I127,I134:I137,I147:I148,I155:I156,I141:I143),6)</f>
        <v>0</v>
      </c>
      <c r="O169" s="156">
        <f>ROUND(SUM(E81,E86,E91,E96,E99,E104,E107,E112,E115,E120,E123,E128,E131,E138,E144,E149,E152,E157,E160,E163,E166),3)</f>
        <v>0</v>
      </c>
      <c r="P169" s="156">
        <f>IFERROR(ROUND((N169+N170)/O169,6),0)</f>
        <v>0</v>
      </c>
      <c r="Q169" s="165" t="s">
        <v>283</v>
      </c>
      <c r="R169" s="165" t="s">
        <v>284</v>
      </c>
    </row>
    <row r="170" spans="1:18" x14ac:dyDescent="0.25">
      <c r="A170" s="209"/>
      <c r="B170" s="210"/>
      <c r="C170" s="109" t="s">
        <v>168</v>
      </c>
      <c r="D170" s="89" t="s">
        <v>249</v>
      </c>
      <c r="E170" s="155">
        <f>O169</f>
        <v>0</v>
      </c>
      <c r="F170" s="52" t="s">
        <v>67</v>
      </c>
      <c r="G170" s="52" t="s">
        <v>67</v>
      </c>
      <c r="H170" s="52" t="s">
        <v>67</v>
      </c>
      <c r="I170" s="52">
        <f>N170</f>
        <v>0</v>
      </c>
      <c r="N170" s="156">
        <f>ROUND(SUM(I83,I88,I93,I98,I101,I106,I109,I114,I117,I122,I125,I130,I133,I140,I146,I151,I154,I159,I162,I165,I168),6)</f>
        <v>0</v>
      </c>
      <c r="O170" s="40">
        <f>IFERROR(P169*O169,0)</f>
        <v>0</v>
      </c>
      <c r="P170" s="40">
        <f>ROUND(O170*1.2,2)</f>
        <v>0</v>
      </c>
      <c r="Q170" s="156">
        <f>(P169*O169)</f>
        <v>0</v>
      </c>
      <c r="R170" s="40">
        <f>ROUND(Q170*1.2,2)</f>
        <v>0</v>
      </c>
    </row>
    <row r="171" spans="1:18" x14ac:dyDescent="0.25">
      <c r="A171" s="200" t="s">
        <v>65</v>
      </c>
      <c r="B171" s="200" t="s">
        <v>172</v>
      </c>
      <c r="C171" s="84" t="s">
        <v>203</v>
      </c>
      <c r="D171" s="142"/>
      <c r="E171" s="173"/>
      <c r="F171" s="173"/>
      <c r="G171" s="173"/>
      <c r="H171" s="35">
        <f t="shared" ref="H171:H180" si="53">+G171-F171</f>
        <v>0</v>
      </c>
      <c r="I171" s="50">
        <f>+ROUND(IF(H171&gt;0,H171*E171,0),4)</f>
        <v>0</v>
      </c>
    </row>
    <row r="172" spans="1:18" x14ac:dyDescent="0.25">
      <c r="A172" s="200"/>
      <c r="B172" s="200"/>
      <c r="C172" s="84" t="s">
        <v>204</v>
      </c>
      <c r="D172" s="142"/>
      <c r="E172" s="173"/>
      <c r="F172" s="173"/>
      <c r="G172" s="173"/>
      <c r="H172" s="35">
        <f t="shared" si="53"/>
        <v>0</v>
      </c>
      <c r="I172" s="50">
        <f t="shared" ref="I172:I180" si="54">+ROUND(IF(H172&gt;0,H172*E172,0),4)</f>
        <v>0</v>
      </c>
    </row>
    <row r="173" spans="1:18" x14ac:dyDescent="0.25">
      <c r="A173" s="200"/>
      <c r="B173" s="200"/>
      <c r="C173" s="84" t="s">
        <v>205</v>
      </c>
      <c r="D173" s="142"/>
      <c r="E173" s="173"/>
      <c r="F173" s="173"/>
      <c r="G173" s="173"/>
      <c r="H173" s="35">
        <f t="shared" si="53"/>
        <v>0</v>
      </c>
      <c r="I173" s="50">
        <f t="shared" si="54"/>
        <v>0</v>
      </c>
    </row>
    <row r="174" spans="1:18" x14ac:dyDescent="0.25">
      <c r="A174" s="200"/>
      <c r="B174" s="200"/>
      <c r="C174" s="85" t="s">
        <v>223</v>
      </c>
      <c r="D174" s="142"/>
      <c r="E174" s="173"/>
      <c r="F174" s="173"/>
      <c r="G174" s="173"/>
      <c r="H174" s="35">
        <f t="shared" si="53"/>
        <v>0</v>
      </c>
      <c r="I174" s="50">
        <f t="shared" si="54"/>
        <v>0</v>
      </c>
    </row>
    <row r="175" spans="1:18" ht="24" x14ac:dyDescent="0.25">
      <c r="A175" s="200"/>
      <c r="B175" s="200"/>
      <c r="C175" s="84" t="s">
        <v>207</v>
      </c>
      <c r="D175" s="128"/>
      <c r="E175" s="170"/>
      <c r="F175" s="39"/>
      <c r="G175" s="39"/>
      <c r="H175" s="35">
        <f t="shared" si="53"/>
        <v>0</v>
      </c>
      <c r="I175" s="50">
        <f t="shared" si="54"/>
        <v>0</v>
      </c>
    </row>
    <row r="176" spans="1:18" ht="24" x14ac:dyDescent="0.25">
      <c r="A176" s="200"/>
      <c r="B176" s="200"/>
      <c r="C176" s="84" t="s">
        <v>208</v>
      </c>
      <c r="D176" s="128"/>
      <c r="E176" s="170"/>
      <c r="F176" s="39"/>
      <c r="G176" s="39"/>
      <c r="H176" s="35">
        <f t="shared" si="53"/>
        <v>0</v>
      </c>
      <c r="I176" s="50">
        <f t="shared" si="54"/>
        <v>0</v>
      </c>
    </row>
    <row r="177" spans="1:9" ht="22.5" customHeight="1" x14ac:dyDescent="0.25">
      <c r="A177" s="200"/>
      <c r="B177" s="200"/>
      <c r="C177" s="84" t="s">
        <v>209</v>
      </c>
      <c r="D177" s="128"/>
      <c r="E177" s="170"/>
      <c r="F177" s="39"/>
      <c r="G177" s="39"/>
      <c r="H177" s="35">
        <f t="shared" si="53"/>
        <v>0</v>
      </c>
      <c r="I177" s="50">
        <f t="shared" si="54"/>
        <v>0</v>
      </c>
    </row>
    <row r="178" spans="1:9" x14ac:dyDescent="0.25">
      <c r="A178" s="200"/>
      <c r="B178" s="200"/>
      <c r="C178" s="84" t="s">
        <v>210</v>
      </c>
      <c r="D178" s="128"/>
      <c r="E178" s="170"/>
      <c r="F178" s="39"/>
      <c r="G178" s="39"/>
      <c r="H178" s="35">
        <f t="shared" si="53"/>
        <v>0</v>
      </c>
      <c r="I178" s="50">
        <f t="shared" si="54"/>
        <v>0</v>
      </c>
    </row>
    <row r="179" spans="1:9" x14ac:dyDescent="0.25">
      <c r="A179" s="200"/>
      <c r="B179" s="200"/>
      <c r="C179" s="84" t="s">
        <v>211</v>
      </c>
      <c r="D179" s="128"/>
      <c r="E179" s="170"/>
      <c r="F179" s="39"/>
      <c r="G179" s="39"/>
      <c r="H179" s="35">
        <f t="shared" si="53"/>
        <v>0</v>
      </c>
      <c r="I179" s="50">
        <f t="shared" si="54"/>
        <v>0</v>
      </c>
    </row>
    <row r="180" spans="1:9" x14ac:dyDescent="0.25">
      <c r="A180" s="200"/>
      <c r="B180" s="200"/>
      <c r="C180" s="84" t="s">
        <v>212</v>
      </c>
      <c r="D180" s="128"/>
      <c r="E180" s="170"/>
      <c r="F180" s="39"/>
      <c r="G180" s="39"/>
      <c r="H180" s="35">
        <f t="shared" si="53"/>
        <v>0</v>
      </c>
      <c r="I180" s="50">
        <f t="shared" si="54"/>
        <v>0</v>
      </c>
    </row>
    <row r="181" spans="1:9" x14ac:dyDescent="0.25">
      <c r="A181" s="200"/>
      <c r="B181" s="200"/>
      <c r="C181" s="84" t="s">
        <v>163</v>
      </c>
      <c r="D181" s="200" t="s">
        <v>249</v>
      </c>
      <c r="E181" s="201"/>
      <c r="F181" s="39"/>
      <c r="G181" s="39"/>
      <c r="H181" s="35" t="s">
        <v>67</v>
      </c>
      <c r="I181" s="35" t="s">
        <v>67</v>
      </c>
    </row>
    <row r="182" spans="1:9" x14ac:dyDescent="0.25">
      <c r="A182" s="200"/>
      <c r="B182" s="200"/>
      <c r="C182" s="84" t="s">
        <v>164</v>
      </c>
      <c r="D182" s="200"/>
      <c r="E182" s="201"/>
      <c r="F182" s="39"/>
      <c r="G182" s="39"/>
      <c r="H182" s="35" t="s">
        <v>67</v>
      </c>
      <c r="I182" s="35" t="s">
        <v>67</v>
      </c>
    </row>
    <row r="183" spans="1:9" x14ac:dyDescent="0.25">
      <c r="A183" s="200"/>
      <c r="B183" s="200"/>
      <c r="C183" s="84" t="s">
        <v>168</v>
      </c>
      <c r="D183" s="200"/>
      <c r="E183" s="201"/>
      <c r="F183" s="35">
        <f>+F181+F182</f>
        <v>0</v>
      </c>
      <c r="G183" s="35">
        <f t="shared" ref="G183" si="55">+G181+G182</f>
        <v>0</v>
      </c>
      <c r="H183" s="35">
        <f>+G183-F183</f>
        <v>0</v>
      </c>
      <c r="I183" s="50">
        <f>+ROUND(IF(H183&gt;0,H183*E181,0),4)</f>
        <v>0</v>
      </c>
    </row>
    <row r="184" spans="1:9" x14ac:dyDescent="0.25">
      <c r="A184" s="200"/>
      <c r="B184" s="200"/>
      <c r="C184" s="84" t="s">
        <v>184</v>
      </c>
      <c r="D184" s="200" t="s">
        <v>249</v>
      </c>
      <c r="E184" s="201"/>
      <c r="F184" s="39"/>
      <c r="G184" s="39"/>
      <c r="H184" s="35" t="s">
        <v>67</v>
      </c>
      <c r="I184" s="35" t="s">
        <v>67</v>
      </c>
    </row>
    <row r="185" spans="1:9" x14ac:dyDescent="0.25">
      <c r="A185" s="200"/>
      <c r="B185" s="200"/>
      <c r="C185" s="84" t="s">
        <v>164</v>
      </c>
      <c r="D185" s="200"/>
      <c r="E185" s="201"/>
      <c r="F185" s="39"/>
      <c r="G185" s="39"/>
      <c r="H185" s="35" t="s">
        <v>67</v>
      </c>
      <c r="I185" s="35" t="s">
        <v>67</v>
      </c>
    </row>
    <row r="186" spans="1:9" x14ac:dyDescent="0.25">
      <c r="A186" s="200"/>
      <c r="B186" s="200"/>
      <c r="C186" s="84" t="s">
        <v>219</v>
      </c>
      <c r="D186" s="200"/>
      <c r="E186" s="201"/>
      <c r="F186" s="35">
        <f>+F184+F185</f>
        <v>0</v>
      </c>
      <c r="G186" s="35">
        <f t="shared" ref="G186" si="56">+G184+G185</f>
        <v>0</v>
      </c>
      <c r="H186" s="35">
        <f>+G186-F186</f>
        <v>0</v>
      </c>
      <c r="I186" s="50">
        <f>+ROUND(IF(H186&gt;0,H186*E184,0),4)</f>
        <v>0</v>
      </c>
    </row>
    <row r="187" spans="1:9" x14ac:dyDescent="0.25">
      <c r="A187" s="200"/>
      <c r="B187" s="200"/>
      <c r="C187" s="84" t="s">
        <v>185</v>
      </c>
      <c r="D187" s="200" t="s">
        <v>249</v>
      </c>
      <c r="E187" s="201"/>
      <c r="F187" s="39"/>
      <c r="G187" s="39"/>
      <c r="H187" s="35" t="s">
        <v>67</v>
      </c>
      <c r="I187" s="35" t="s">
        <v>67</v>
      </c>
    </row>
    <row r="188" spans="1:9" x14ac:dyDescent="0.25">
      <c r="A188" s="200"/>
      <c r="B188" s="200"/>
      <c r="C188" s="84" t="s">
        <v>164</v>
      </c>
      <c r="D188" s="200"/>
      <c r="E188" s="201"/>
      <c r="F188" s="39"/>
      <c r="G188" s="39"/>
      <c r="H188" s="35" t="s">
        <v>67</v>
      </c>
      <c r="I188" s="35" t="s">
        <v>67</v>
      </c>
    </row>
    <row r="189" spans="1:9" x14ac:dyDescent="0.25">
      <c r="A189" s="200"/>
      <c r="B189" s="200"/>
      <c r="C189" s="84" t="s">
        <v>220</v>
      </c>
      <c r="D189" s="200"/>
      <c r="E189" s="201"/>
      <c r="F189" s="35">
        <f>+F187+F188</f>
        <v>0</v>
      </c>
      <c r="G189" s="35">
        <f t="shared" ref="G189" si="57">+G187+G188</f>
        <v>0</v>
      </c>
      <c r="H189" s="35">
        <f>+G189-F189</f>
        <v>0</v>
      </c>
      <c r="I189" s="50">
        <f>+ROUND(IF(H189&gt;0,H189*E187,0),4)</f>
        <v>0</v>
      </c>
    </row>
    <row r="190" spans="1:9" x14ac:dyDescent="0.25">
      <c r="A190" s="199" t="s">
        <v>65</v>
      </c>
      <c r="B190" s="200" t="s">
        <v>183</v>
      </c>
      <c r="C190" s="81" t="s">
        <v>162</v>
      </c>
      <c r="D190" s="128"/>
      <c r="E190" s="170"/>
      <c r="F190" s="39"/>
      <c r="G190" s="39"/>
      <c r="H190" s="45">
        <f>+G190-F190</f>
        <v>0</v>
      </c>
      <c r="I190" s="50">
        <f>+ROUND(IF(H190&gt;0,H190*E190,0),4)</f>
        <v>0</v>
      </c>
    </row>
    <row r="191" spans="1:9" x14ac:dyDescent="0.25">
      <c r="A191" s="199"/>
      <c r="B191" s="200"/>
      <c r="C191" s="81" t="s">
        <v>163</v>
      </c>
      <c r="D191" s="200" t="s">
        <v>249</v>
      </c>
      <c r="E191" s="201"/>
      <c r="F191" s="39"/>
      <c r="G191" s="39"/>
      <c r="H191" s="45" t="s">
        <v>67</v>
      </c>
      <c r="I191" s="45" t="s">
        <v>67</v>
      </c>
    </row>
    <row r="192" spans="1:9" x14ac:dyDescent="0.25">
      <c r="A192" s="199"/>
      <c r="B192" s="200"/>
      <c r="C192" s="81" t="s">
        <v>164</v>
      </c>
      <c r="D192" s="200"/>
      <c r="E192" s="201"/>
      <c r="F192" s="39"/>
      <c r="G192" s="39"/>
      <c r="H192" s="45" t="s">
        <v>67</v>
      </c>
      <c r="I192" s="45" t="s">
        <v>67</v>
      </c>
    </row>
    <row r="193" spans="1:19" x14ac:dyDescent="0.25">
      <c r="A193" s="199"/>
      <c r="B193" s="200"/>
      <c r="C193" s="81" t="s">
        <v>168</v>
      </c>
      <c r="D193" s="200"/>
      <c r="E193" s="201"/>
      <c r="F193" s="45">
        <f>+F191+F192</f>
        <v>0</v>
      </c>
      <c r="G193" s="45">
        <f t="shared" ref="G193" si="58">+G191+G192</f>
        <v>0</v>
      </c>
      <c r="H193" s="45">
        <f>+G193-F193</f>
        <v>0</v>
      </c>
      <c r="I193" s="50">
        <f>+ROUND(IF(H193&gt;0,H193*E191,0),4)</f>
        <v>0</v>
      </c>
    </row>
    <row r="194" spans="1:19" x14ac:dyDescent="0.25">
      <c r="A194" s="226" t="s">
        <v>65</v>
      </c>
      <c r="B194" s="211" t="s">
        <v>201</v>
      </c>
      <c r="C194" s="82" t="s">
        <v>202</v>
      </c>
      <c r="D194" s="129"/>
      <c r="E194" s="171"/>
      <c r="F194" s="46"/>
      <c r="G194" s="46"/>
      <c r="H194" s="36">
        <f>+G194-F194</f>
        <v>0</v>
      </c>
      <c r="I194" s="51">
        <f>ROUND(IF(H194&gt;0,H194*E194,0),4)</f>
        <v>0</v>
      </c>
    </row>
    <row r="195" spans="1:19" x14ac:dyDescent="0.25">
      <c r="A195" s="226"/>
      <c r="B195" s="211"/>
      <c r="C195" s="82" t="s">
        <v>163</v>
      </c>
      <c r="D195" s="200" t="s">
        <v>249</v>
      </c>
      <c r="E195" s="227"/>
      <c r="F195" s="46"/>
      <c r="G195" s="46"/>
      <c r="H195" s="36" t="s">
        <v>67</v>
      </c>
      <c r="I195" s="36" t="s">
        <v>67</v>
      </c>
    </row>
    <row r="196" spans="1:19" x14ac:dyDescent="0.25">
      <c r="A196" s="226"/>
      <c r="B196" s="211"/>
      <c r="C196" s="82" t="s">
        <v>164</v>
      </c>
      <c r="D196" s="200"/>
      <c r="E196" s="227"/>
      <c r="F196" s="46"/>
      <c r="G196" s="46"/>
      <c r="H196" s="36" t="s">
        <v>67</v>
      </c>
      <c r="I196" s="36" t="s">
        <v>67</v>
      </c>
    </row>
    <row r="197" spans="1:19" x14ac:dyDescent="0.25">
      <c r="A197" s="226"/>
      <c r="B197" s="211"/>
      <c r="C197" s="82" t="s">
        <v>168</v>
      </c>
      <c r="D197" s="200"/>
      <c r="E197" s="227"/>
      <c r="F197" s="36">
        <f>+F195+F196</f>
        <v>0</v>
      </c>
      <c r="G197" s="36">
        <f t="shared" ref="G197" si="59">+G195+G196</f>
        <v>0</v>
      </c>
      <c r="H197" s="36">
        <f>+G197-F197</f>
        <v>0</v>
      </c>
      <c r="I197" s="51">
        <f>ROUND(IF(H197&gt;0,H197*E195,0),4)</f>
        <v>0</v>
      </c>
    </row>
    <row r="198" spans="1:19" x14ac:dyDescent="0.25">
      <c r="A198" s="199" t="s">
        <v>65</v>
      </c>
      <c r="B198" s="200" t="s">
        <v>186</v>
      </c>
      <c r="C198" s="81" t="s">
        <v>163</v>
      </c>
      <c r="D198" s="200" t="s">
        <v>249</v>
      </c>
      <c r="E198" s="201"/>
      <c r="F198" s="39"/>
      <c r="G198" s="39"/>
      <c r="H198" s="35" t="s">
        <v>67</v>
      </c>
      <c r="I198" s="35" t="s">
        <v>67</v>
      </c>
    </row>
    <row r="199" spans="1:19" x14ac:dyDescent="0.25">
      <c r="A199" s="199"/>
      <c r="B199" s="200"/>
      <c r="C199" s="81" t="s">
        <v>164</v>
      </c>
      <c r="D199" s="200"/>
      <c r="E199" s="201"/>
      <c r="F199" s="39"/>
      <c r="G199" s="39"/>
      <c r="H199" s="35" t="s">
        <v>67</v>
      </c>
      <c r="I199" s="35" t="s">
        <v>67</v>
      </c>
    </row>
    <row r="200" spans="1:19" ht="30" x14ac:dyDescent="0.25">
      <c r="A200" s="199"/>
      <c r="B200" s="200"/>
      <c r="C200" s="81" t="s">
        <v>168</v>
      </c>
      <c r="D200" s="200"/>
      <c r="E200" s="201"/>
      <c r="F200" s="35">
        <f>+F198+F199</f>
        <v>0</v>
      </c>
      <c r="G200" s="35">
        <f t="shared" ref="G200" si="60">+G198+G199</f>
        <v>0</v>
      </c>
      <c r="H200" s="35">
        <f>+G200-F200</f>
        <v>0</v>
      </c>
      <c r="I200" s="50">
        <f>+ROUND(IF(H200&gt;0,H200*E198,0),4)</f>
        <v>0</v>
      </c>
      <c r="J200" s="135" t="s">
        <v>277</v>
      </c>
      <c r="R200" s="40" t="s">
        <v>281</v>
      </c>
      <c r="S200" s="40" t="s">
        <v>282</v>
      </c>
    </row>
    <row r="201" spans="1:19" x14ac:dyDescent="0.25">
      <c r="A201" s="209" t="s">
        <v>65</v>
      </c>
      <c r="B201" s="210" t="s">
        <v>188</v>
      </c>
      <c r="C201" s="109" t="s">
        <v>162</v>
      </c>
      <c r="D201" s="121" t="s">
        <v>67</v>
      </c>
      <c r="E201" s="52" t="s">
        <v>67</v>
      </c>
      <c r="F201" s="52" t="s">
        <v>67</v>
      </c>
      <c r="G201" s="52" t="s">
        <v>67</v>
      </c>
      <c r="H201" s="52" t="s">
        <v>67</v>
      </c>
      <c r="I201" s="52">
        <f>O201</f>
        <v>0</v>
      </c>
      <c r="J201" s="158">
        <f>IFERROR(P201,0)</f>
        <v>0</v>
      </c>
      <c r="N201" s="159">
        <f>ROUND(O201+O202,2)</f>
        <v>0</v>
      </c>
      <c r="O201" s="156">
        <f>ROUND(SUM(I171:I180,I190,I194),6)</f>
        <v>0</v>
      </c>
      <c r="P201" s="156">
        <f>IFERROR(ROUND((O201+O202)/E202,6),0)</f>
        <v>0</v>
      </c>
      <c r="Q201" s="159">
        <f>IFERROR(P201*N202,0)</f>
        <v>0</v>
      </c>
      <c r="R201" s="159">
        <f>Q202*N202</f>
        <v>0</v>
      </c>
      <c r="S201" s="159">
        <f>R201*1.2</f>
        <v>0</v>
      </c>
    </row>
    <row r="202" spans="1:19" ht="15" customHeight="1" x14ac:dyDescent="0.25">
      <c r="A202" s="209"/>
      <c r="B202" s="210"/>
      <c r="C202" s="109" t="s">
        <v>168</v>
      </c>
      <c r="D202" s="89" t="s">
        <v>249</v>
      </c>
      <c r="E202" s="155">
        <f>N202</f>
        <v>0</v>
      </c>
      <c r="F202" s="52" t="s">
        <v>67</v>
      </c>
      <c r="G202" s="52" t="s">
        <v>67</v>
      </c>
      <c r="H202" s="52" t="s">
        <v>67</v>
      </c>
      <c r="I202" s="52">
        <f>O202</f>
        <v>0</v>
      </c>
      <c r="N202" s="157">
        <f>ROUND(+E181+E184+E187+E191+E198+E195,3)</f>
        <v>0</v>
      </c>
      <c r="O202" s="156">
        <f>ROUND(+I183+I186+I189+I193+I200+I197,6)</f>
        <v>0</v>
      </c>
      <c r="P202" s="40">
        <f>ROUND(((O202+O201)*1.2),2)</f>
        <v>0</v>
      </c>
      <c r="Q202" s="40">
        <f>IFERROR(ROUND(N201/N202,6),0)</f>
        <v>0</v>
      </c>
    </row>
    <row r="203" spans="1:19" ht="15" customHeight="1" x14ac:dyDescent="0.25">
      <c r="A203" s="200" t="s">
        <v>66</v>
      </c>
      <c r="B203" s="200" t="s">
        <v>173</v>
      </c>
      <c r="C203" s="84" t="s">
        <v>203</v>
      </c>
      <c r="D203" s="128"/>
      <c r="E203" s="173"/>
      <c r="F203" s="39"/>
      <c r="G203" s="39"/>
      <c r="H203" s="35">
        <f t="shared" ref="H203:H211" si="61">+G203-F203</f>
        <v>0</v>
      </c>
      <c r="I203" s="50">
        <f t="shared" ref="I203:I211" si="62">+ROUND(IF(H203&gt;0,H203*E203,0),4)</f>
        <v>0</v>
      </c>
    </row>
    <row r="204" spans="1:19" ht="15" customHeight="1" x14ac:dyDescent="0.25">
      <c r="A204" s="200"/>
      <c r="B204" s="200"/>
      <c r="C204" s="84" t="s">
        <v>204</v>
      </c>
      <c r="D204" s="128"/>
      <c r="E204" s="173"/>
      <c r="F204" s="39"/>
      <c r="G204" s="39"/>
      <c r="H204" s="35">
        <f t="shared" si="61"/>
        <v>0</v>
      </c>
      <c r="I204" s="50">
        <f t="shared" si="62"/>
        <v>0</v>
      </c>
    </row>
    <row r="205" spans="1:19" x14ac:dyDescent="0.25">
      <c r="A205" s="200"/>
      <c r="B205" s="200"/>
      <c r="C205" s="84" t="s">
        <v>205</v>
      </c>
      <c r="D205" s="128"/>
      <c r="E205" s="173"/>
      <c r="F205" s="39"/>
      <c r="G205" s="39"/>
      <c r="H205" s="35">
        <f t="shared" si="61"/>
        <v>0</v>
      </c>
      <c r="I205" s="50">
        <f t="shared" si="62"/>
        <v>0</v>
      </c>
    </row>
    <row r="206" spans="1:19" ht="24" x14ac:dyDescent="0.25">
      <c r="A206" s="200"/>
      <c r="B206" s="200"/>
      <c r="C206" s="84" t="s">
        <v>213</v>
      </c>
      <c r="D206" s="128"/>
      <c r="E206" s="170"/>
      <c r="F206" s="39"/>
      <c r="G206" s="39"/>
      <c r="H206" s="35">
        <f t="shared" si="61"/>
        <v>0</v>
      </c>
      <c r="I206" s="50">
        <f t="shared" si="62"/>
        <v>0</v>
      </c>
    </row>
    <row r="207" spans="1:19" ht="24" x14ac:dyDescent="0.25">
      <c r="A207" s="200"/>
      <c r="B207" s="200"/>
      <c r="C207" s="84" t="s">
        <v>214</v>
      </c>
      <c r="D207" s="128"/>
      <c r="E207" s="170"/>
      <c r="F207" s="39"/>
      <c r="G207" s="39"/>
      <c r="H207" s="35">
        <f t="shared" si="61"/>
        <v>0</v>
      </c>
      <c r="I207" s="50">
        <f t="shared" si="62"/>
        <v>0</v>
      </c>
    </row>
    <row r="208" spans="1:19" ht="24" x14ac:dyDescent="0.25">
      <c r="A208" s="200"/>
      <c r="B208" s="200"/>
      <c r="C208" s="84" t="s">
        <v>215</v>
      </c>
      <c r="D208" s="128"/>
      <c r="E208" s="170"/>
      <c r="F208" s="39"/>
      <c r="G208" s="39"/>
      <c r="H208" s="35">
        <f t="shared" si="61"/>
        <v>0</v>
      </c>
      <c r="I208" s="50">
        <f t="shared" si="62"/>
        <v>0</v>
      </c>
    </row>
    <row r="209" spans="1:19" x14ac:dyDescent="0.25">
      <c r="A209" s="200"/>
      <c r="B209" s="200"/>
      <c r="C209" s="84" t="s">
        <v>217</v>
      </c>
      <c r="D209" s="128"/>
      <c r="E209" s="170"/>
      <c r="F209" s="39"/>
      <c r="G209" s="39"/>
      <c r="H209" s="35">
        <f t="shared" si="61"/>
        <v>0</v>
      </c>
      <c r="I209" s="50">
        <f t="shared" si="62"/>
        <v>0</v>
      </c>
    </row>
    <row r="210" spans="1:19" x14ac:dyDescent="0.25">
      <c r="A210" s="200"/>
      <c r="B210" s="200"/>
      <c r="C210" s="84" t="s">
        <v>218</v>
      </c>
      <c r="D210" s="128"/>
      <c r="E210" s="170"/>
      <c r="F210" s="39"/>
      <c r="G210" s="39"/>
      <c r="H210" s="35">
        <f t="shared" si="61"/>
        <v>0</v>
      </c>
      <c r="I210" s="50">
        <f t="shared" si="62"/>
        <v>0</v>
      </c>
    </row>
    <row r="211" spans="1:19" x14ac:dyDescent="0.25">
      <c r="A211" s="200"/>
      <c r="B211" s="200"/>
      <c r="C211" s="84" t="s">
        <v>216</v>
      </c>
      <c r="D211" s="128"/>
      <c r="E211" s="170"/>
      <c r="F211" s="39"/>
      <c r="G211" s="39"/>
      <c r="H211" s="35">
        <f t="shared" si="61"/>
        <v>0</v>
      </c>
      <c r="I211" s="50">
        <f t="shared" si="62"/>
        <v>0</v>
      </c>
    </row>
    <row r="212" spans="1:19" x14ac:dyDescent="0.25">
      <c r="A212" s="200"/>
      <c r="B212" s="200"/>
      <c r="C212" s="81" t="s">
        <v>163</v>
      </c>
      <c r="D212" s="200" t="s">
        <v>249</v>
      </c>
      <c r="E212" s="201"/>
      <c r="F212" s="39"/>
      <c r="G212" s="39"/>
      <c r="H212" s="35" t="s">
        <v>67</v>
      </c>
      <c r="I212" s="35" t="s">
        <v>67</v>
      </c>
    </row>
    <row r="213" spans="1:19" x14ac:dyDescent="0.25">
      <c r="A213" s="200"/>
      <c r="B213" s="200"/>
      <c r="C213" s="81" t="s">
        <v>164</v>
      </c>
      <c r="D213" s="200"/>
      <c r="E213" s="201"/>
      <c r="F213" s="39"/>
      <c r="G213" s="39"/>
      <c r="H213" s="35" t="s">
        <v>67</v>
      </c>
      <c r="I213" s="35" t="s">
        <v>67</v>
      </c>
    </row>
    <row r="214" spans="1:19" x14ac:dyDescent="0.25">
      <c r="A214" s="200"/>
      <c r="B214" s="200"/>
      <c r="C214" s="81" t="s">
        <v>168</v>
      </c>
      <c r="D214" s="200"/>
      <c r="E214" s="201"/>
      <c r="F214" s="35">
        <f>+F212+F213</f>
        <v>0</v>
      </c>
      <c r="G214" s="35">
        <f t="shared" ref="G214" si="63">+G212+G213</f>
        <v>0</v>
      </c>
      <c r="H214" s="35">
        <f>+G214-F214</f>
        <v>0</v>
      </c>
      <c r="I214" s="50">
        <f>+ROUND(IF(H214&gt;0,H214*E212,0),4)</f>
        <v>0</v>
      </c>
    </row>
    <row r="215" spans="1:19" x14ac:dyDescent="0.25">
      <c r="A215" s="200"/>
      <c r="B215" s="200"/>
      <c r="C215" s="81" t="s">
        <v>184</v>
      </c>
      <c r="D215" s="200" t="s">
        <v>249</v>
      </c>
      <c r="E215" s="201"/>
      <c r="F215" s="39"/>
      <c r="G215" s="39"/>
      <c r="H215" s="35" t="s">
        <v>67</v>
      </c>
      <c r="I215" s="35" t="s">
        <v>67</v>
      </c>
    </row>
    <row r="216" spans="1:19" x14ac:dyDescent="0.25">
      <c r="A216" s="200"/>
      <c r="B216" s="200"/>
      <c r="C216" s="81" t="s">
        <v>164</v>
      </c>
      <c r="D216" s="200"/>
      <c r="E216" s="201"/>
      <c r="F216" s="39"/>
      <c r="G216" s="39"/>
      <c r="H216" s="35" t="s">
        <v>67</v>
      </c>
      <c r="I216" s="35" t="s">
        <v>67</v>
      </c>
    </row>
    <row r="217" spans="1:19" x14ac:dyDescent="0.25">
      <c r="A217" s="200"/>
      <c r="B217" s="200"/>
      <c r="C217" s="84" t="s">
        <v>219</v>
      </c>
      <c r="D217" s="200"/>
      <c r="E217" s="201"/>
      <c r="F217" s="35">
        <f>+F215+F216</f>
        <v>0</v>
      </c>
      <c r="G217" s="35">
        <f t="shared" ref="G217" si="64">+G215+G216</f>
        <v>0</v>
      </c>
      <c r="H217" s="35">
        <f>+G217-F217</f>
        <v>0</v>
      </c>
      <c r="I217" s="50">
        <f>+ROUND(IF(H217&gt;0,H217*E215,0),4)</f>
        <v>0</v>
      </c>
    </row>
    <row r="218" spans="1:19" x14ac:dyDescent="0.25">
      <c r="A218" s="200"/>
      <c r="B218" s="200"/>
      <c r="C218" s="81" t="s">
        <v>185</v>
      </c>
      <c r="D218" s="200" t="s">
        <v>249</v>
      </c>
      <c r="E218" s="201"/>
      <c r="F218" s="39"/>
      <c r="G218" s="39"/>
      <c r="H218" s="35" t="s">
        <v>67</v>
      </c>
      <c r="I218" s="35" t="s">
        <v>67</v>
      </c>
    </row>
    <row r="219" spans="1:19" x14ac:dyDescent="0.25">
      <c r="A219" s="200"/>
      <c r="B219" s="200"/>
      <c r="C219" s="81" t="s">
        <v>164</v>
      </c>
      <c r="D219" s="200"/>
      <c r="E219" s="201"/>
      <c r="F219" s="39"/>
      <c r="G219" s="39"/>
      <c r="H219" s="35" t="s">
        <v>67</v>
      </c>
      <c r="I219" s="35" t="s">
        <v>67</v>
      </c>
    </row>
    <row r="220" spans="1:19" ht="30" x14ac:dyDescent="0.25">
      <c r="A220" s="200"/>
      <c r="B220" s="200"/>
      <c r="C220" s="84" t="s">
        <v>220</v>
      </c>
      <c r="D220" s="200"/>
      <c r="E220" s="201"/>
      <c r="F220" s="35">
        <f>+F218+F219</f>
        <v>0</v>
      </c>
      <c r="G220" s="35">
        <f t="shared" ref="G220" si="65">+G218+G219</f>
        <v>0</v>
      </c>
      <c r="H220" s="35">
        <f>+G220-F220</f>
        <v>0</v>
      </c>
      <c r="I220" s="50">
        <f>+ROUND(IF(H220&gt;0,H220*E218,0),4)</f>
        <v>0</v>
      </c>
      <c r="J220" s="135" t="s">
        <v>278</v>
      </c>
    </row>
    <row r="221" spans="1:19" x14ac:dyDescent="0.25">
      <c r="A221" s="209" t="s">
        <v>66</v>
      </c>
      <c r="B221" s="210" t="s">
        <v>188</v>
      </c>
      <c r="C221" s="109" t="s">
        <v>162</v>
      </c>
      <c r="D221" s="121" t="s">
        <v>67</v>
      </c>
      <c r="E221" s="52" t="s">
        <v>67</v>
      </c>
      <c r="F221" s="52" t="s">
        <v>67</v>
      </c>
      <c r="G221" s="52" t="s">
        <v>67</v>
      </c>
      <c r="H221" s="52"/>
      <c r="I221" s="132">
        <f>O221</f>
        <v>0</v>
      </c>
      <c r="J221" s="158">
        <f>IFERROR(P221,0)</f>
        <v>0</v>
      </c>
      <c r="N221" s="156">
        <f>ROUND((+E212+E215+E218),3)</f>
        <v>0</v>
      </c>
      <c r="O221" s="156">
        <f>ROUND(SUM(I203:I211),6)</f>
        <v>0</v>
      </c>
      <c r="P221" s="40">
        <f>IFERROR(ROUND((O221+O222)/N221,6),0)</f>
        <v>0</v>
      </c>
      <c r="Q221" s="156">
        <f>IFERROR(ROUND(O223/N221,6),0)</f>
        <v>0</v>
      </c>
      <c r="R221" s="40" t="s">
        <v>283</v>
      </c>
      <c r="S221" s="40" t="s">
        <v>284</v>
      </c>
    </row>
    <row r="222" spans="1:19" ht="15.75" thickBot="1" x14ac:dyDescent="0.3">
      <c r="A222" s="209"/>
      <c r="B222" s="210"/>
      <c r="C222" s="110" t="s">
        <v>168</v>
      </c>
      <c r="D222" s="90" t="s">
        <v>249</v>
      </c>
      <c r="E222" s="155">
        <f>N221</f>
        <v>0</v>
      </c>
      <c r="F222" s="95" t="s">
        <v>67</v>
      </c>
      <c r="G222" s="95" t="s">
        <v>67</v>
      </c>
      <c r="H222" s="95" t="s">
        <v>67</v>
      </c>
      <c r="I222" s="133">
        <f>O222</f>
        <v>0</v>
      </c>
      <c r="O222" s="156">
        <f>ROUND(+I214+I217+I220,6)</f>
        <v>0</v>
      </c>
      <c r="P222" s="159">
        <f>ROUND((O221+O222)*1.2,2)</f>
        <v>0</v>
      </c>
      <c r="Q222" s="156">
        <f>Q221*N221</f>
        <v>0</v>
      </c>
      <c r="R222" s="159">
        <f>Q221*N221</f>
        <v>0</v>
      </c>
      <c r="S222" s="159">
        <f>ROUND(R222*1.2,2)</f>
        <v>0</v>
      </c>
    </row>
    <row r="223" spans="1:19" ht="15.75" thickBot="1" x14ac:dyDescent="0.3">
      <c r="A223" s="78"/>
      <c r="B223" s="105"/>
      <c r="C223" s="87" t="s">
        <v>265</v>
      </c>
      <c r="D223" s="92"/>
      <c r="E223" s="124" t="s">
        <v>67</v>
      </c>
      <c r="F223" s="124" t="s">
        <v>67</v>
      </c>
      <c r="G223" s="124" t="s">
        <v>67</v>
      </c>
      <c r="H223" s="53" t="s">
        <v>67</v>
      </c>
      <c r="I223" s="54">
        <f>IFERROR(SUM(R222,R201,Q170,P78),0)</f>
        <v>0</v>
      </c>
      <c r="J223" s="79"/>
      <c r="O223" s="156">
        <f>(O221+O222)</f>
        <v>0</v>
      </c>
      <c r="P223" s="159">
        <f>ROUND(O223*1.2,2)</f>
        <v>0</v>
      </c>
      <c r="Q223" s="159">
        <f>Q222*1.2</f>
        <v>0</v>
      </c>
    </row>
    <row r="224" spans="1:19" ht="15.75" thickBot="1" x14ac:dyDescent="0.3">
      <c r="A224" s="78"/>
      <c r="B224" s="105"/>
      <c r="C224" s="87" t="s">
        <v>68</v>
      </c>
      <c r="D224" s="92"/>
      <c r="E224" s="124" t="s">
        <v>67</v>
      </c>
      <c r="F224" s="124" t="s">
        <v>67</v>
      </c>
      <c r="G224" s="124" t="s">
        <v>67</v>
      </c>
      <c r="H224" s="53" t="s">
        <v>67</v>
      </c>
      <c r="I224" s="54">
        <f>IFERROR(ROUND(I225-I223,4),0)</f>
        <v>0</v>
      </c>
      <c r="J224" s="79"/>
      <c r="M224" s="159">
        <f>P221*N221*1.2</f>
        <v>0</v>
      </c>
      <c r="O224" s="40">
        <f>IFERROR(O223/N221,0)</f>
        <v>0</v>
      </c>
    </row>
    <row r="225" spans="1:16" ht="16.5" thickBot="1" x14ac:dyDescent="0.3">
      <c r="A225" s="78"/>
      <c r="B225" s="105"/>
      <c r="C225" s="108" t="s">
        <v>69</v>
      </c>
      <c r="D225" s="111"/>
      <c r="E225" s="136" t="s">
        <v>67</v>
      </c>
      <c r="F225" s="136" t="s">
        <v>67</v>
      </c>
      <c r="G225" s="136" t="s">
        <v>67</v>
      </c>
      <c r="H225" s="57" t="s">
        <v>67</v>
      </c>
      <c r="I225" s="58">
        <f>IFERROR(ROUND(I223*1.2,2),0)</f>
        <v>0</v>
      </c>
      <c r="J225" s="79"/>
    </row>
    <row r="226" spans="1:16" ht="19.5" thickBot="1" x14ac:dyDescent="0.3">
      <c r="A226" s="79"/>
      <c r="B226" s="106"/>
      <c r="D226" s="106"/>
      <c r="E226" s="79"/>
      <c r="F226" s="79"/>
      <c r="G226" s="79"/>
      <c r="H226" s="79"/>
      <c r="I226" s="79"/>
      <c r="J226" s="137" t="s">
        <v>279</v>
      </c>
      <c r="K226" s="80"/>
    </row>
    <row r="227" spans="1:16" s="42" customFormat="1" ht="30" customHeight="1" x14ac:dyDescent="0.25">
      <c r="A227" s="80"/>
      <c r="B227" s="107"/>
      <c r="C227" s="43"/>
      <c r="D227" s="107"/>
      <c r="E227" s="232" t="s">
        <v>262</v>
      </c>
      <c r="F227" s="233"/>
      <c r="G227" s="234"/>
      <c r="H227" s="100">
        <f>IFERROR(I223+'Nátok z PRDS'!H227,0)</f>
        <v>0</v>
      </c>
      <c r="I227" s="101" t="s">
        <v>57</v>
      </c>
      <c r="J227" s="138">
        <f>IFERROR(ROUND((S222+S201+R170+Q78)-'Nátok z PRDS'!I225,2),0)</f>
        <v>0</v>
      </c>
      <c r="K227" s="166"/>
    </row>
    <row r="228" spans="1:16" s="42" customFormat="1" ht="38.25" customHeight="1" x14ac:dyDescent="0.25">
      <c r="A228" s="80"/>
      <c r="B228" s="107"/>
      <c r="C228" s="43"/>
      <c r="D228" s="107"/>
      <c r="E228" s="228" t="s">
        <v>239</v>
      </c>
      <c r="F228" s="214"/>
      <c r="G228" s="215"/>
      <c r="H228" s="167">
        <f>ROUND((+E78+E170+E202+E222),3)</f>
        <v>0</v>
      </c>
      <c r="I228" s="102" t="s">
        <v>240</v>
      </c>
      <c r="J228" s="163"/>
      <c r="K228" s="80"/>
    </row>
    <row r="229" spans="1:16" s="42" customFormat="1" ht="45.75" customHeight="1" thickBot="1" x14ac:dyDescent="0.3">
      <c r="A229" s="80"/>
      <c r="B229" s="107"/>
      <c r="C229" s="43"/>
      <c r="D229" s="107"/>
      <c r="E229" s="229" t="s">
        <v>280</v>
      </c>
      <c r="F229" s="230"/>
      <c r="G229" s="231"/>
      <c r="H229" s="103">
        <f>IFERROR(ROUND((I223/H228),6),0)</f>
        <v>0</v>
      </c>
      <c r="I229" s="104" t="s">
        <v>241</v>
      </c>
      <c r="J229" s="120">
        <f>IFERROR((I221+I222+I201+I202+I169+I170+I77+I78)/H228,0)</f>
        <v>0</v>
      </c>
      <c r="K229" s="79"/>
      <c r="P229" s="164">
        <f>99328*1146.790462*1.2</f>
        <v>136690083.61144319</v>
      </c>
    </row>
    <row r="230" spans="1:16" x14ac:dyDescent="0.25">
      <c r="A230" s="79"/>
      <c r="D230" s="106"/>
      <c r="E230" s="79"/>
      <c r="F230" s="79"/>
      <c r="G230" s="79"/>
      <c r="H230" s="79"/>
      <c r="I230" s="79"/>
      <c r="J230" s="79"/>
    </row>
    <row r="231" spans="1:16" x14ac:dyDescent="0.25">
      <c r="A231" s="112" t="s">
        <v>221</v>
      </c>
      <c r="B231" s="106"/>
      <c r="C231" s="113"/>
      <c r="D231" s="106"/>
      <c r="E231" s="79"/>
      <c r="F231" s="79"/>
      <c r="G231" s="79"/>
      <c r="H231" s="79"/>
      <c r="I231" s="79"/>
      <c r="J231" s="79"/>
      <c r="K231" s="79"/>
    </row>
    <row r="232" spans="1:16" x14ac:dyDescent="0.25">
      <c r="A232" s="112" t="s">
        <v>261</v>
      </c>
      <c r="B232" s="112"/>
      <c r="C232" s="112"/>
      <c r="D232" s="112"/>
      <c r="E232" s="112"/>
      <c r="F232" s="112"/>
      <c r="G232" s="112"/>
      <c r="H232" s="112"/>
      <c r="I232" s="112"/>
      <c r="J232" s="79"/>
      <c r="K232" s="79"/>
    </row>
    <row r="233" spans="1:16" x14ac:dyDescent="0.25">
      <c r="A233" s="224" t="s">
        <v>251</v>
      </c>
      <c r="B233" s="224"/>
      <c r="C233" s="224"/>
      <c r="D233" s="224"/>
      <c r="E233" s="224"/>
      <c r="F233" s="224"/>
      <c r="G233" s="224"/>
      <c r="H233" s="224"/>
      <c r="I233" s="224"/>
      <c r="J233" s="79"/>
      <c r="K233" s="79"/>
    </row>
    <row r="234" spans="1:16" ht="15" customHeight="1" x14ac:dyDescent="0.25">
      <c r="A234" s="225" t="s">
        <v>252</v>
      </c>
      <c r="B234" s="225"/>
      <c r="C234" s="225"/>
      <c r="D234" s="225"/>
      <c r="E234" s="225"/>
      <c r="F234" s="225"/>
      <c r="G234" s="225"/>
      <c r="H234" s="225"/>
      <c r="I234" s="225"/>
      <c r="J234" s="79"/>
      <c r="K234" s="79"/>
    </row>
    <row r="235" spans="1:16" x14ac:dyDescent="0.25">
      <c r="A235" s="224" t="s">
        <v>248</v>
      </c>
      <c r="B235" s="224"/>
      <c r="C235" s="224"/>
      <c r="D235" s="224"/>
      <c r="E235" s="224"/>
      <c r="F235" s="224"/>
      <c r="G235" s="224"/>
      <c r="H235" s="224"/>
      <c r="I235" s="224"/>
      <c r="J235" s="79"/>
      <c r="K235" s="79"/>
    </row>
    <row r="236" spans="1:16" x14ac:dyDescent="0.25">
      <c r="A236" s="224" t="s">
        <v>293</v>
      </c>
      <c r="B236" s="224"/>
      <c r="C236" s="224"/>
      <c r="D236" s="224"/>
      <c r="E236" s="224"/>
      <c r="F236" s="224"/>
      <c r="G236" s="224"/>
      <c r="H236" s="224"/>
      <c r="I236" s="224"/>
      <c r="J236" s="79"/>
      <c r="K236" s="79"/>
    </row>
    <row r="237" spans="1:16" x14ac:dyDescent="0.25">
      <c r="A237" s="224" t="s">
        <v>253</v>
      </c>
      <c r="B237" s="224"/>
      <c r="C237" s="224"/>
      <c r="D237" s="224"/>
      <c r="E237" s="224"/>
      <c r="F237" s="224"/>
      <c r="G237" s="224"/>
      <c r="H237" s="224"/>
      <c r="I237" s="224"/>
      <c r="J237" s="79"/>
      <c r="K237" s="79"/>
    </row>
    <row r="238" spans="1:16" x14ac:dyDescent="0.25">
      <c r="A238" s="224" t="s">
        <v>254</v>
      </c>
      <c r="B238" s="224"/>
      <c r="C238" s="224"/>
      <c r="D238" s="224"/>
      <c r="E238" s="224"/>
      <c r="F238" s="224"/>
      <c r="G238" s="224"/>
      <c r="H238" s="224"/>
      <c r="I238" s="224"/>
      <c r="J238" s="79"/>
      <c r="K238" s="79"/>
    </row>
    <row r="239" spans="1:16" x14ac:dyDescent="0.25">
      <c r="A239" s="112" t="s">
        <v>250</v>
      </c>
      <c r="B239" s="106"/>
      <c r="C239" s="113"/>
      <c r="D239" s="106"/>
      <c r="E239" s="79"/>
      <c r="F239" s="79"/>
      <c r="G239" s="79"/>
      <c r="H239" s="79"/>
      <c r="I239" s="79"/>
      <c r="J239" s="79"/>
      <c r="K239" s="79"/>
    </row>
  </sheetData>
  <sheetProtection algorithmName="SHA-512" hashValue="8RRU+DncFBff3a8v6zkjEmqT9piyBzdTpEQhPB++tuZeI7OUBM9VNB43pTAIIvm4iJGRuCTevZTmKatfChaDCw==" saltValue="pFQTtLOvnJhVmYM1wtsH4Q==" spinCount="100000" sheet="1" selectLockedCells="1"/>
  <mergeCells count="178">
    <mergeCell ref="A1:I1"/>
    <mergeCell ref="A2:A4"/>
    <mergeCell ref="B2:B4"/>
    <mergeCell ref="C2:C4"/>
    <mergeCell ref="D2:D4"/>
    <mergeCell ref="A5:A8"/>
    <mergeCell ref="B5:B8"/>
    <mergeCell ref="D6:D8"/>
    <mergeCell ref="E6:E8"/>
    <mergeCell ref="A9:A13"/>
    <mergeCell ref="B9:B13"/>
    <mergeCell ref="D11:D13"/>
    <mergeCell ref="E11:E13"/>
    <mergeCell ref="A14:A20"/>
    <mergeCell ref="B14:B20"/>
    <mergeCell ref="D15:D17"/>
    <mergeCell ref="E15:E17"/>
    <mergeCell ref="D18:D20"/>
    <mergeCell ref="E18:E20"/>
    <mergeCell ref="A29:A35"/>
    <mergeCell ref="B29:B35"/>
    <mergeCell ref="D30:D32"/>
    <mergeCell ref="E30:E32"/>
    <mergeCell ref="D33:D35"/>
    <mergeCell ref="E33:E35"/>
    <mergeCell ref="A21:A28"/>
    <mergeCell ref="B21:B28"/>
    <mergeCell ref="D23:D25"/>
    <mergeCell ref="E23:E25"/>
    <mergeCell ref="D26:D28"/>
    <mergeCell ref="E26:E28"/>
    <mergeCell ref="A43:A49"/>
    <mergeCell ref="B43:B49"/>
    <mergeCell ref="D44:D46"/>
    <mergeCell ref="E44:E46"/>
    <mergeCell ref="D47:D49"/>
    <mergeCell ref="E47:E49"/>
    <mergeCell ref="A36:A42"/>
    <mergeCell ref="B36:B42"/>
    <mergeCell ref="D37:D39"/>
    <mergeCell ref="E37:E39"/>
    <mergeCell ref="D40:D42"/>
    <mergeCell ref="E40:E42"/>
    <mergeCell ref="A57:A63"/>
    <mergeCell ref="B57:B63"/>
    <mergeCell ref="D58:D60"/>
    <mergeCell ref="E58:E60"/>
    <mergeCell ref="D61:D63"/>
    <mergeCell ref="E61:E63"/>
    <mergeCell ref="A50:A56"/>
    <mergeCell ref="B50:B56"/>
    <mergeCell ref="D51:D53"/>
    <mergeCell ref="E51:E53"/>
    <mergeCell ref="D54:D56"/>
    <mergeCell ref="E54:E56"/>
    <mergeCell ref="A64:A76"/>
    <mergeCell ref="B64:B76"/>
    <mergeCell ref="D65:D67"/>
    <mergeCell ref="E65:E67"/>
    <mergeCell ref="D68:D70"/>
    <mergeCell ref="E68:E70"/>
    <mergeCell ref="D71:D73"/>
    <mergeCell ref="E71:E73"/>
    <mergeCell ref="D74:D76"/>
    <mergeCell ref="E74:E76"/>
    <mergeCell ref="A84:A88"/>
    <mergeCell ref="B84:B88"/>
    <mergeCell ref="D86:D88"/>
    <mergeCell ref="E86:E88"/>
    <mergeCell ref="A89:A93"/>
    <mergeCell ref="B89:B93"/>
    <mergeCell ref="D91:D93"/>
    <mergeCell ref="E91:E93"/>
    <mergeCell ref="A77:A78"/>
    <mergeCell ref="B77:B78"/>
    <mergeCell ref="A79:A83"/>
    <mergeCell ref="B79:B83"/>
    <mergeCell ref="D81:D83"/>
    <mergeCell ref="E81:E83"/>
    <mergeCell ref="A102:A109"/>
    <mergeCell ref="B102:B109"/>
    <mergeCell ref="D104:D106"/>
    <mergeCell ref="E104:E106"/>
    <mergeCell ref="D107:D109"/>
    <mergeCell ref="E107:E109"/>
    <mergeCell ref="A94:A101"/>
    <mergeCell ref="B94:B101"/>
    <mergeCell ref="D96:D98"/>
    <mergeCell ref="E96:E98"/>
    <mergeCell ref="D99:D101"/>
    <mergeCell ref="E99:E101"/>
    <mergeCell ref="A118:A125"/>
    <mergeCell ref="B118:B125"/>
    <mergeCell ref="D120:D122"/>
    <mergeCell ref="E120:E122"/>
    <mergeCell ref="D123:D125"/>
    <mergeCell ref="E123:E125"/>
    <mergeCell ref="A110:A117"/>
    <mergeCell ref="B110:B117"/>
    <mergeCell ref="D112:D114"/>
    <mergeCell ref="E112:E114"/>
    <mergeCell ref="D115:D117"/>
    <mergeCell ref="E115:E117"/>
    <mergeCell ref="A134:A135"/>
    <mergeCell ref="B134:B135"/>
    <mergeCell ref="A136:A140"/>
    <mergeCell ref="B136:B140"/>
    <mergeCell ref="D138:D140"/>
    <mergeCell ref="E138:E140"/>
    <mergeCell ref="A126:A133"/>
    <mergeCell ref="B126:B133"/>
    <mergeCell ref="D128:D130"/>
    <mergeCell ref="E128:E130"/>
    <mergeCell ref="D131:D133"/>
    <mergeCell ref="E131:E133"/>
    <mergeCell ref="A141:A146"/>
    <mergeCell ref="B141:B146"/>
    <mergeCell ref="D144:D146"/>
    <mergeCell ref="E144:E146"/>
    <mergeCell ref="A147:A154"/>
    <mergeCell ref="B147:B154"/>
    <mergeCell ref="D149:D151"/>
    <mergeCell ref="E149:E151"/>
    <mergeCell ref="D152:D154"/>
    <mergeCell ref="E152:E154"/>
    <mergeCell ref="A155:A168"/>
    <mergeCell ref="B155:B168"/>
    <mergeCell ref="D157:D159"/>
    <mergeCell ref="E157:E159"/>
    <mergeCell ref="D160:D162"/>
    <mergeCell ref="E160:E162"/>
    <mergeCell ref="D163:D165"/>
    <mergeCell ref="E163:E165"/>
    <mergeCell ref="D166:D168"/>
    <mergeCell ref="E166:E168"/>
    <mergeCell ref="A190:A193"/>
    <mergeCell ref="B190:B193"/>
    <mergeCell ref="D191:D193"/>
    <mergeCell ref="E191:E193"/>
    <mergeCell ref="A194:A197"/>
    <mergeCell ref="B194:B197"/>
    <mergeCell ref="D195:D197"/>
    <mergeCell ref="E195:E197"/>
    <mergeCell ref="A169:A170"/>
    <mergeCell ref="B169:B170"/>
    <mergeCell ref="A171:A189"/>
    <mergeCell ref="B171:B189"/>
    <mergeCell ref="D181:D183"/>
    <mergeCell ref="E181:E183"/>
    <mergeCell ref="D184:D186"/>
    <mergeCell ref="E184:E186"/>
    <mergeCell ref="D187:D189"/>
    <mergeCell ref="E187:E189"/>
    <mergeCell ref="A203:A220"/>
    <mergeCell ref="B203:B220"/>
    <mergeCell ref="D212:D214"/>
    <mergeCell ref="E212:E214"/>
    <mergeCell ref="D215:D217"/>
    <mergeCell ref="E215:E217"/>
    <mergeCell ref="D218:D220"/>
    <mergeCell ref="E218:E220"/>
    <mergeCell ref="A198:A200"/>
    <mergeCell ref="B198:B200"/>
    <mergeCell ref="D198:D200"/>
    <mergeCell ref="E198:E200"/>
    <mergeCell ref="A201:A202"/>
    <mergeCell ref="B201:B202"/>
    <mergeCell ref="A233:I233"/>
    <mergeCell ref="A234:I234"/>
    <mergeCell ref="A235:I235"/>
    <mergeCell ref="A236:I236"/>
    <mergeCell ref="A237:I237"/>
    <mergeCell ref="A238:I238"/>
    <mergeCell ref="A221:A222"/>
    <mergeCell ref="B221:B222"/>
    <mergeCell ref="E228:G228"/>
    <mergeCell ref="E229:G229"/>
    <mergeCell ref="E227:G227"/>
  </mergeCells>
  <dataValidations disablePrompts="1" count="3">
    <dataValidation allowBlank="1" showInputMessage="1" showErrorMessage="1" promptTitle="URSO 24" prompt="Zadajte prosím link na rozhodnutie URSO  na základe ktorého žiadate o kompenzáciu" sqref="K3"/>
    <dataValidation allowBlank="1" showInputMessage="1" showErrorMessage="1" promptTitle="URSO 22 " prompt="Zadajte prosím link na rozhodnutie URSO  na základe ktorého žiadate o kompenzáciu" sqref="K2"/>
    <dataValidation type="textLength" allowBlank="1" showInputMessage="1" showErrorMessage="1" sqref="J2">
      <formula1>16</formula1>
      <formula2>16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7" fitToHeight="0" orientation="landscape" r:id="rId1"/>
  <headerFooter>
    <oddFooter>&amp;C&amp;P z &amp;N</oddFooter>
  </headerFooter>
  <rowBreaks count="5" manualBreakCount="5">
    <brk id="42" max="16383" man="1"/>
    <brk id="88" max="16383" man="1"/>
    <brk id="135" max="16383" man="1"/>
    <brk id="170" max="16383" man="1"/>
    <brk id="20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5"/>
  <sheetViews>
    <sheetView workbookViewId="0">
      <selection activeCell="F171" sqref="F171:G182"/>
    </sheetView>
  </sheetViews>
  <sheetFormatPr defaultRowHeight="15" x14ac:dyDescent="0.25"/>
  <cols>
    <col min="1" max="1" width="38.28515625" customWidth="1"/>
    <col min="2" max="2" width="10.42578125" customWidth="1"/>
    <col min="3" max="3" width="53.85546875" customWidth="1"/>
    <col min="4" max="4" width="5.7109375" customWidth="1"/>
    <col min="5" max="5" width="28.5703125" customWidth="1"/>
    <col min="6" max="9" width="21.42578125" customWidth="1"/>
    <col min="11" max="11" width="9.140625" hidden="1" customWidth="1"/>
    <col min="12" max="12" width="45.140625" hidden="1" customWidth="1"/>
    <col min="13" max="14" width="0" hidden="1" customWidth="1"/>
  </cols>
  <sheetData>
    <row r="1" spans="1:13" ht="21.75" x14ac:dyDescent="0.25">
      <c r="A1" s="235" t="s">
        <v>242</v>
      </c>
      <c r="B1" s="235"/>
      <c r="C1" s="235"/>
      <c r="D1" s="235"/>
      <c r="E1" s="235"/>
      <c r="F1" s="235"/>
      <c r="G1" s="235"/>
      <c r="H1" s="235"/>
      <c r="I1" s="236"/>
      <c r="K1" s="72" t="s">
        <v>274</v>
      </c>
      <c r="L1" s="72" t="s">
        <v>270</v>
      </c>
    </row>
    <row r="2" spans="1:13" ht="36" x14ac:dyDescent="0.25">
      <c r="A2" s="204" t="s">
        <v>237</v>
      </c>
      <c r="B2" s="200" t="s">
        <v>170</v>
      </c>
      <c r="C2" s="200" t="s">
        <v>167</v>
      </c>
      <c r="D2" s="200" t="s">
        <v>234</v>
      </c>
      <c r="E2" s="33" t="s">
        <v>247</v>
      </c>
      <c r="F2" s="126" t="s">
        <v>243</v>
      </c>
      <c r="G2" s="126" t="s">
        <v>244</v>
      </c>
      <c r="H2" s="33" t="s">
        <v>266</v>
      </c>
      <c r="I2" s="48" t="s">
        <v>267</v>
      </c>
    </row>
    <row r="3" spans="1:13" x14ac:dyDescent="0.25">
      <c r="A3" s="204"/>
      <c r="B3" s="200"/>
      <c r="C3" s="200"/>
      <c r="D3" s="200"/>
      <c r="E3" s="37" t="s">
        <v>206</v>
      </c>
      <c r="F3" s="34" t="s">
        <v>178</v>
      </c>
      <c r="G3" s="34" t="s">
        <v>178</v>
      </c>
      <c r="H3" s="34" t="s">
        <v>178</v>
      </c>
      <c r="I3" s="49" t="s">
        <v>57</v>
      </c>
    </row>
    <row r="4" spans="1:13" x14ac:dyDescent="0.25">
      <c r="A4" s="204"/>
      <c r="B4" s="200"/>
      <c r="C4" s="200"/>
      <c r="D4" s="200"/>
      <c r="E4" s="34" t="s">
        <v>58</v>
      </c>
      <c r="F4" s="34" t="s">
        <v>59</v>
      </c>
      <c r="G4" s="34" t="s">
        <v>60</v>
      </c>
      <c r="H4" s="34" t="s">
        <v>61</v>
      </c>
      <c r="I4" s="34" t="s">
        <v>62</v>
      </c>
    </row>
    <row r="5" spans="1:13" x14ac:dyDescent="0.25">
      <c r="A5" s="199" t="s">
        <v>63</v>
      </c>
      <c r="B5" s="200" t="s">
        <v>169</v>
      </c>
      <c r="C5" s="81" t="s">
        <v>162</v>
      </c>
      <c r="D5" s="128" t="s">
        <v>236</v>
      </c>
      <c r="E5" s="61"/>
      <c r="F5" s="39">
        <v>1.3206</v>
      </c>
      <c r="G5" s="39">
        <v>1.4527000000000001</v>
      </c>
      <c r="H5" s="35">
        <f>+G5-F5</f>
        <v>0.13210000000000011</v>
      </c>
      <c r="I5" s="50">
        <f>+ROUND(IF(H5&gt;0,H5*E5,0),4)</f>
        <v>0</v>
      </c>
      <c r="L5" s="68">
        <f>IFERROR(H5-'Nátok z PRDS'!H5,"N/A")</f>
        <v>0.13210000000000011</v>
      </c>
      <c r="M5" s="68">
        <f>IFERROR(H5-'Distribúcia KS v PMDS'!H5,0)</f>
        <v>0.13210000000000011</v>
      </c>
    </row>
    <row r="6" spans="1:13" x14ac:dyDescent="0.25">
      <c r="A6" s="199"/>
      <c r="B6" s="200"/>
      <c r="C6" s="81" t="s">
        <v>163</v>
      </c>
      <c r="D6" s="221" t="s">
        <v>249</v>
      </c>
      <c r="E6" s="205"/>
      <c r="F6" s="39">
        <v>38.904000000000003</v>
      </c>
      <c r="G6" s="39">
        <v>40.425999999999995</v>
      </c>
      <c r="H6" s="35" t="s">
        <v>67</v>
      </c>
      <c r="I6" s="35" t="s">
        <v>67</v>
      </c>
      <c r="L6" s="68" t="str">
        <f>IFERROR(H6-'Nátok z PRDS'!H6,"N/A")</f>
        <v>N/A</v>
      </c>
      <c r="M6" s="68">
        <f>IFERROR(H6-'Distribúcia KS v PMDS'!H6,0)</f>
        <v>0</v>
      </c>
    </row>
    <row r="7" spans="1:13" x14ac:dyDescent="0.25">
      <c r="A7" s="199"/>
      <c r="B7" s="200"/>
      <c r="C7" s="81" t="s">
        <v>164</v>
      </c>
      <c r="D7" s="222"/>
      <c r="E7" s="206"/>
      <c r="F7" s="39">
        <v>11.466000000000001</v>
      </c>
      <c r="G7" s="39">
        <v>16.826000000000001</v>
      </c>
      <c r="H7" s="35" t="s">
        <v>67</v>
      </c>
      <c r="I7" s="35" t="s">
        <v>67</v>
      </c>
      <c r="L7" s="68" t="str">
        <f>IFERROR(H7-'Nátok z PRDS'!H7,"N/A")</f>
        <v>N/A</v>
      </c>
      <c r="M7" s="68">
        <f>IFERROR(H7-'Distribúcia KS v PMDS'!H7,0)</f>
        <v>0</v>
      </c>
    </row>
    <row r="8" spans="1:13" x14ac:dyDescent="0.25">
      <c r="A8" s="199"/>
      <c r="B8" s="200"/>
      <c r="C8" s="81" t="s">
        <v>168</v>
      </c>
      <c r="D8" s="223"/>
      <c r="E8" s="207"/>
      <c r="F8" s="35">
        <f>+F6+F7</f>
        <v>50.370000000000005</v>
      </c>
      <c r="G8" s="35">
        <f t="shared" ref="G8" si="0">+G6+G7</f>
        <v>57.251999999999995</v>
      </c>
      <c r="H8" s="35">
        <f>+G8-F8</f>
        <v>6.8819999999999908</v>
      </c>
      <c r="I8" s="50">
        <f>+ROUND(IF(H8&gt;0,H8*E6,0),4)</f>
        <v>0</v>
      </c>
      <c r="L8" s="68">
        <f>IFERROR(H8-'Nátok z PRDS'!H8,"N/A")</f>
        <v>6.8819999999999908</v>
      </c>
      <c r="M8" s="68">
        <f>IFERROR(H8-'Distribúcia KS v PMDS'!H8,0)</f>
        <v>6.8819999999999908</v>
      </c>
    </row>
    <row r="9" spans="1:13" x14ac:dyDescent="0.25">
      <c r="A9" s="199" t="s">
        <v>63</v>
      </c>
      <c r="B9" s="200" t="s">
        <v>174</v>
      </c>
      <c r="C9" s="81" t="s">
        <v>162</v>
      </c>
      <c r="D9" s="128" t="s">
        <v>236</v>
      </c>
      <c r="E9" s="61"/>
      <c r="F9" s="39">
        <v>4.5807000000000002</v>
      </c>
      <c r="G9" s="39">
        <v>5.0387000000000004</v>
      </c>
      <c r="H9" s="35">
        <f>+G9-F9</f>
        <v>0.45800000000000018</v>
      </c>
      <c r="I9" s="50">
        <f t="shared" ref="I9" si="1">+ROUND(IF(H9&gt;0,H9*E9,0),4)</f>
        <v>0</v>
      </c>
      <c r="L9" s="68">
        <f>IFERROR(H9-'Nátok z PRDS'!H9,"N/A")</f>
        <v>0.45800000000000018</v>
      </c>
      <c r="M9" s="68">
        <f>IFERROR(H9-'Distribúcia KS v PMDS'!H9,0)</f>
        <v>0.45800000000000018</v>
      </c>
    </row>
    <row r="10" spans="1:13" x14ac:dyDescent="0.25">
      <c r="A10" s="199"/>
      <c r="B10" s="200"/>
      <c r="C10" s="82" t="s">
        <v>222</v>
      </c>
      <c r="D10" s="128"/>
      <c r="E10" s="61"/>
      <c r="F10" s="39"/>
      <c r="G10" s="39"/>
      <c r="H10" s="35">
        <f>+G10-F10</f>
        <v>0</v>
      </c>
      <c r="I10" s="50">
        <f>+ROUND(IF(H10&gt;0,H10*E10,0),4)</f>
        <v>0</v>
      </c>
      <c r="L10" s="68">
        <f>IFERROR(H10-'Nátok z PRDS'!H10,"N/A")</f>
        <v>0</v>
      </c>
      <c r="M10" s="68">
        <f>IFERROR(H10-'Distribúcia KS v PMDS'!H10,0)</f>
        <v>0</v>
      </c>
    </row>
    <row r="11" spans="1:13" x14ac:dyDescent="0.25">
      <c r="A11" s="199"/>
      <c r="B11" s="200"/>
      <c r="C11" s="81" t="s">
        <v>163</v>
      </c>
      <c r="D11" s="221" t="s">
        <v>249</v>
      </c>
      <c r="E11" s="201"/>
      <c r="F11" s="39">
        <v>13.004999999999999</v>
      </c>
      <c r="G11" s="39">
        <v>13.044</v>
      </c>
      <c r="H11" s="35" t="s">
        <v>67</v>
      </c>
      <c r="I11" s="35" t="s">
        <v>67</v>
      </c>
      <c r="L11" s="68" t="str">
        <f>IFERROR(H11-'Nátok z PRDS'!H11,"N/A")</f>
        <v>N/A</v>
      </c>
      <c r="M11" s="68">
        <f>IFERROR(H11-'Distribúcia KS v PMDS'!H11,0)</f>
        <v>0</v>
      </c>
    </row>
    <row r="12" spans="1:13" x14ac:dyDescent="0.25">
      <c r="A12" s="199"/>
      <c r="B12" s="200"/>
      <c r="C12" s="81" t="s">
        <v>164</v>
      </c>
      <c r="D12" s="222"/>
      <c r="E12" s="201"/>
      <c r="F12" s="39">
        <v>11.466000000000001</v>
      </c>
      <c r="G12" s="39">
        <v>16.826000000000001</v>
      </c>
      <c r="H12" s="35" t="s">
        <v>67</v>
      </c>
      <c r="I12" s="35" t="s">
        <v>67</v>
      </c>
      <c r="L12" s="68" t="str">
        <f>IFERROR(H12-'Nátok z PRDS'!H12,"N/A")</f>
        <v>N/A</v>
      </c>
      <c r="M12" s="68">
        <f>IFERROR(H12-'Distribúcia KS v PMDS'!H12,0)</f>
        <v>0</v>
      </c>
    </row>
    <row r="13" spans="1:13" x14ac:dyDescent="0.25">
      <c r="A13" s="199"/>
      <c r="B13" s="200"/>
      <c r="C13" s="81" t="s">
        <v>168</v>
      </c>
      <c r="D13" s="223"/>
      <c r="E13" s="201"/>
      <c r="F13" s="35">
        <f>+F11+F12</f>
        <v>24.471</v>
      </c>
      <c r="G13" s="35">
        <f t="shared" ref="G13" si="2">+G11+G12</f>
        <v>29.87</v>
      </c>
      <c r="H13" s="35">
        <f>+G13-F13</f>
        <v>5.3990000000000009</v>
      </c>
      <c r="I13" s="50">
        <f>+ROUND(IF(H13&gt;0,H13*E11,0),4)</f>
        <v>0</v>
      </c>
      <c r="L13" s="68">
        <f>IFERROR(H13-'Nátok z PRDS'!H13,"N/A")</f>
        <v>5.3990000000000009</v>
      </c>
      <c r="M13" s="68">
        <f>IFERROR(H13-'Distribúcia KS v PMDS'!H13,0)</f>
        <v>5.3990000000000009</v>
      </c>
    </row>
    <row r="14" spans="1:13" x14ac:dyDescent="0.25">
      <c r="A14" s="199" t="s">
        <v>63</v>
      </c>
      <c r="B14" s="200" t="s">
        <v>175</v>
      </c>
      <c r="C14" s="81" t="s">
        <v>162</v>
      </c>
      <c r="D14" s="128" t="s">
        <v>236</v>
      </c>
      <c r="E14" s="61"/>
      <c r="F14" s="39">
        <v>7.2595000000000001</v>
      </c>
      <c r="G14" s="39">
        <v>7.9854000000000003</v>
      </c>
      <c r="H14" s="35">
        <f>+G14-F14</f>
        <v>0.72590000000000021</v>
      </c>
      <c r="I14" s="50">
        <f t="shared" ref="I14" si="3">+ROUND(IF(H14&gt;0,H14*E14,0),4)</f>
        <v>0</v>
      </c>
      <c r="L14" s="68">
        <f>IFERROR(H14-'Nátok z PRDS'!H14,"N/A")</f>
        <v>0.72590000000000021</v>
      </c>
      <c r="M14" s="68">
        <f>IFERROR(H14-'Distribúcia KS v PMDS'!H14,0)</f>
        <v>0.72590000000000021</v>
      </c>
    </row>
    <row r="15" spans="1:13" x14ac:dyDescent="0.25">
      <c r="A15" s="199"/>
      <c r="B15" s="200"/>
      <c r="C15" s="81" t="s">
        <v>179</v>
      </c>
      <c r="D15" s="221" t="s">
        <v>249</v>
      </c>
      <c r="E15" s="201">
        <v>0</v>
      </c>
      <c r="F15" s="39">
        <v>13.004999999999999</v>
      </c>
      <c r="G15" s="39">
        <v>13.044</v>
      </c>
      <c r="H15" s="35" t="s">
        <v>67</v>
      </c>
      <c r="I15" s="35" t="s">
        <v>67</v>
      </c>
      <c r="L15" s="68" t="str">
        <f>IFERROR(H15-'Nátok z PRDS'!H15,"N/A")</f>
        <v>N/A</v>
      </c>
      <c r="M15" s="68">
        <f>IFERROR(H15-'Distribúcia KS v PMDS'!H15,0)</f>
        <v>0</v>
      </c>
    </row>
    <row r="16" spans="1:13" x14ac:dyDescent="0.25">
      <c r="A16" s="199"/>
      <c r="B16" s="200"/>
      <c r="C16" s="81" t="s">
        <v>164</v>
      </c>
      <c r="D16" s="222"/>
      <c r="E16" s="201"/>
      <c r="F16" s="39">
        <v>11.466000000000001</v>
      </c>
      <c r="G16" s="39">
        <v>16.826000000000001</v>
      </c>
      <c r="H16" s="35" t="s">
        <v>67</v>
      </c>
      <c r="I16" s="35" t="s">
        <v>67</v>
      </c>
      <c r="L16" s="68" t="str">
        <f>IFERROR(H16-'Nátok z PRDS'!H16,"N/A")</f>
        <v>N/A</v>
      </c>
      <c r="M16" s="68">
        <f>IFERROR(H16-'Distribúcia KS v PMDS'!H16,0)</f>
        <v>0</v>
      </c>
    </row>
    <row r="17" spans="1:13" x14ac:dyDescent="0.25">
      <c r="A17" s="199"/>
      <c r="B17" s="200"/>
      <c r="C17" s="81" t="s">
        <v>182</v>
      </c>
      <c r="D17" s="223"/>
      <c r="E17" s="201"/>
      <c r="F17" s="35">
        <f>+F15+F16</f>
        <v>24.471</v>
      </c>
      <c r="G17" s="35">
        <f t="shared" ref="G17" si="4">+G15+G16</f>
        <v>29.87</v>
      </c>
      <c r="H17" s="35">
        <f>+G17-F17</f>
        <v>5.3990000000000009</v>
      </c>
      <c r="I17" s="50">
        <f>+ROUND(IF(H17&gt;0,H17*E15,0),4)</f>
        <v>0</v>
      </c>
      <c r="L17" s="68">
        <f>IFERROR(H17-'Nátok z PRDS'!H17,"N/A")</f>
        <v>5.3990000000000009</v>
      </c>
      <c r="M17" s="68">
        <f>IFERROR(H17-'Distribúcia KS v PMDS'!H17,0)</f>
        <v>5.3990000000000009</v>
      </c>
    </row>
    <row r="18" spans="1:13" x14ac:dyDescent="0.25">
      <c r="A18" s="199"/>
      <c r="B18" s="200"/>
      <c r="C18" s="81" t="s">
        <v>180</v>
      </c>
      <c r="D18" s="221" t="s">
        <v>249</v>
      </c>
      <c r="E18" s="201">
        <v>0</v>
      </c>
      <c r="F18" s="39"/>
      <c r="G18" s="39"/>
      <c r="H18" s="35" t="s">
        <v>67</v>
      </c>
      <c r="I18" s="35" t="s">
        <v>67</v>
      </c>
      <c r="L18" s="68" t="str">
        <f>IFERROR(H18-'Nátok z PRDS'!H18,"N/A")</f>
        <v>N/A</v>
      </c>
      <c r="M18" s="68">
        <f>IFERROR(H18-'Distribúcia KS v PMDS'!H18,0)</f>
        <v>0</v>
      </c>
    </row>
    <row r="19" spans="1:13" x14ac:dyDescent="0.25">
      <c r="A19" s="199"/>
      <c r="B19" s="200"/>
      <c r="C19" s="81" t="s">
        <v>164</v>
      </c>
      <c r="D19" s="222"/>
      <c r="E19" s="201"/>
      <c r="F19" s="39"/>
      <c r="G19" s="39"/>
      <c r="H19" s="35" t="s">
        <v>67</v>
      </c>
      <c r="I19" s="35" t="s">
        <v>67</v>
      </c>
      <c r="L19" s="68" t="str">
        <f>IFERROR(H19-'Nátok z PRDS'!H19,"N/A")</f>
        <v>N/A</v>
      </c>
      <c r="M19" s="68">
        <f>IFERROR(H19-'Distribúcia KS v PMDS'!H19,0)</f>
        <v>0</v>
      </c>
    </row>
    <row r="20" spans="1:13" x14ac:dyDescent="0.25">
      <c r="A20" s="199"/>
      <c r="B20" s="200"/>
      <c r="C20" s="81" t="s">
        <v>181</v>
      </c>
      <c r="D20" s="223"/>
      <c r="E20" s="201"/>
      <c r="F20" s="35">
        <f>+F18+F19</f>
        <v>0</v>
      </c>
      <c r="G20" s="35">
        <f t="shared" ref="G20" si="5">+G18+G19</f>
        <v>0</v>
      </c>
      <c r="H20" s="35">
        <f>+G20-F20</f>
        <v>0</v>
      </c>
      <c r="I20" s="50">
        <f>+ROUND(IF(H20&gt;0,H20*E18,0),4)</f>
        <v>0</v>
      </c>
      <c r="L20" s="68">
        <f>IFERROR(H20-'Nátok z PRDS'!H20,"N/A")</f>
        <v>0</v>
      </c>
      <c r="M20" s="68">
        <f>IFERROR(H20-'Distribúcia KS v PMDS'!H20,0)</f>
        <v>0</v>
      </c>
    </row>
    <row r="21" spans="1:13" x14ac:dyDescent="0.25">
      <c r="A21" s="199" t="s">
        <v>63</v>
      </c>
      <c r="B21" s="200" t="s">
        <v>176</v>
      </c>
      <c r="C21" s="81" t="s">
        <v>162</v>
      </c>
      <c r="D21" s="128" t="s">
        <v>165</v>
      </c>
      <c r="E21" s="61"/>
      <c r="F21" s="39">
        <v>0.15079999999999999</v>
      </c>
      <c r="G21" s="39">
        <v>0.1961</v>
      </c>
      <c r="H21" s="35">
        <f>+G21-F21</f>
        <v>4.5300000000000007E-2</v>
      </c>
      <c r="I21" s="50">
        <f t="shared" ref="I21:I22" si="6">+ROUND(IF(H21&gt;0,H21*E21,0),4)</f>
        <v>0</v>
      </c>
      <c r="L21" s="68">
        <f>IFERROR(H21-'Nátok z PRDS'!H21,"N/A")</f>
        <v>4.5300000000000007E-2</v>
      </c>
      <c r="M21" s="68">
        <f>IFERROR(H21-'Distribúcia KS v PMDS'!H21,0)</f>
        <v>4.5300000000000007E-2</v>
      </c>
    </row>
    <row r="22" spans="1:13" x14ac:dyDescent="0.25">
      <c r="A22" s="199"/>
      <c r="B22" s="200"/>
      <c r="C22" s="81" t="s">
        <v>222</v>
      </c>
      <c r="D22" s="128"/>
      <c r="E22" s="61"/>
      <c r="F22" s="39"/>
      <c r="G22" s="39"/>
      <c r="H22" s="35">
        <f>+G22-F22</f>
        <v>0</v>
      </c>
      <c r="I22" s="50">
        <f t="shared" si="6"/>
        <v>0</v>
      </c>
      <c r="L22" s="68">
        <f>IFERROR(H22-'Nátok z PRDS'!H22,"N/A")</f>
        <v>0</v>
      </c>
      <c r="M22" s="68">
        <f>IFERROR(H22-'Distribúcia KS v PMDS'!H22,0)</f>
        <v>0</v>
      </c>
    </row>
    <row r="23" spans="1:13" x14ac:dyDescent="0.25">
      <c r="A23" s="199"/>
      <c r="B23" s="200"/>
      <c r="C23" s="81" t="s">
        <v>179</v>
      </c>
      <c r="D23" s="221" t="s">
        <v>249</v>
      </c>
      <c r="E23" s="201">
        <v>0</v>
      </c>
      <c r="F23" s="39">
        <v>3.9839999999999995</v>
      </c>
      <c r="G23" s="39">
        <v>3.5070000000000001</v>
      </c>
      <c r="H23" s="35" t="s">
        <v>67</v>
      </c>
      <c r="I23" s="35" t="s">
        <v>67</v>
      </c>
      <c r="L23" s="68" t="str">
        <f>IFERROR(H23-'Nátok z PRDS'!H23,"N/A")</f>
        <v>N/A</v>
      </c>
      <c r="M23" s="68">
        <f>IFERROR(H23-'Distribúcia KS v PMDS'!H23,0)</f>
        <v>0</v>
      </c>
    </row>
    <row r="24" spans="1:13" x14ac:dyDescent="0.25">
      <c r="A24" s="199"/>
      <c r="B24" s="200"/>
      <c r="C24" s="81" t="s">
        <v>164</v>
      </c>
      <c r="D24" s="222"/>
      <c r="E24" s="201"/>
      <c r="F24" s="39">
        <v>11.466000000000001</v>
      </c>
      <c r="G24" s="39">
        <v>16.826000000000001</v>
      </c>
      <c r="H24" s="35" t="s">
        <v>67</v>
      </c>
      <c r="I24" s="35" t="s">
        <v>67</v>
      </c>
      <c r="L24" s="68" t="str">
        <f>IFERROR(H24-'Nátok z PRDS'!H24,"N/A")</f>
        <v>N/A</v>
      </c>
      <c r="M24" s="68">
        <f>IFERROR(H24-'Distribúcia KS v PMDS'!H24,0)</f>
        <v>0</v>
      </c>
    </row>
    <row r="25" spans="1:13" x14ac:dyDescent="0.25">
      <c r="A25" s="199"/>
      <c r="B25" s="200"/>
      <c r="C25" s="81" t="s">
        <v>182</v>
      </c>
      <c r="D25" s="223"/>
      <c r="E25" s="201"/>
      <c r="F25" s="35">
        <f>+F23+F24</f>
        <v>15.450000000000001</v>
      </c>
      <c r="G25" s="35">
        <f>+G23+G24</f>
        <v>20.333000000000002</v>
      </c>
      <c r="H25" s="35">
        <f>+G25-F25</f>
        <v>4.8830000000000009</v>
      </c>
      <c r="I25" s="50">
        <f>+ROUND(IF(H25&gt;0,H25*E23,0),4)</f>
        <v>0</v>
      </c>
      <c r="L25" s="68">
        <f>IFERROR(H25-'Nátok z PRDS'!H25,"N/A")</f>
        <v>4.8830000000000009</v>
      </c>
      <c r="M25" s="68">
        <f>IFERROR(H25-'Distribúcia KS v PMDS'!H25,0)</f>
        <v>4.8830000000000009</v>
      </c>
    </row>
    <row r="26" spans="1:13" x14ac:dyDescent="0.25">
      <c r="A26" s="199"/>
      <c r="B26" s="200"/>
      <c r="C26" s="81" t="s">
        <v>180</v>
      </c>
      <c r="D26" s="221" t="s">
        <v>249</v>
      </c>
      <c r="E26" s="201">
        <v>0</v>
      </c>
      <c r="F26" s="39"/>
      <c r="G26" s="39"/>
      <c r="H26" s="35" t="s">
        <v>67</v>
      </c>
      <c r="I26" s="35" t="s">
        <v>67</v>
      </c>
      <c r="L26" s="68" t="str">
        <f>IFERROR(H26-'Nátok z PRDS'!H26,"N/A")</f>
        <v>N/A</v>
      </c>
      <c r="M26" s="68">
        <f>IFERROR(H26-'Distribúcia KS v PMDS'!H26,0)</f>
        <v>0</v>
      </c>
    </row>
    <row r="27" spans="1:13" x14ac:dyDescent="0.25">
      <c r="A27" s="199"/>
      <c r="B27" s="200"/>
      <c r="C27" s="81" t="s">
        <v>164</v>
      </c>
      <c r="D27" s="222"/>
      <c r="E27" s="201"/>
      <c r="F27" s="39"/>
      <c r="G27" s="39"/>
      <c r="H27" s="35" t="s">
        <v>67</v>
      </c>
      <c r="I27" s="35" t="s">
        <v>67</v>
      </c>
      <c r="L27" s="68" t="str">
        <f>IFERROR(H27-'Nátok z PRDS'!H27,"N/A")</f>
        <v>N/A</v>
      </c>
      <c r="M27" s="68">
        <f>IFERROR(H27-'Distribúcia KS v PMDS'!H27,0)</f>
        <v>0</v>
      </c>
    </row>
    <row r="28" spans="1:13" x14ac:dyDescent="0.25">
      <c r="A28" s="199"/>
      <c r="B28" s="200"/>
      <c r="C28" s="81" t="s">
        <v>181</v>
      </c>
      <c r="D28" s="223"/>
      <c r="E28" s="201"/>
      <c r="F28" s="35">
        <f>+F26+F27</f>
        <v>0</v>
      </c>
      <c r="G28" s="35">
        <f t="shared" ref="G28" si="7">+G26+G27</f>
        <v>0</v>
      </c>
      <c r="H28" s="35">
        <f>+G28-F28</f>
        <v>0</v>
      </c>
      <c r="I28" s="50">
        <f>+ROUND(IF(H28&gt;0,H28*E26,0),4)</f>
        <v>0</v>
      </c>
      <c r="L28" s="68">
        <f>IFERROR(H28-'Nátok z PRDS'!H28,"N/A")</f>
        <v>0</v>
      </c>
      <c r="M28" s="68">
        <f>IFERROR(H28-'Distribúcia KS v PMDS'!H28,0)</f>
        <v>0</v>
      </c>
    </row>
    <row r="29" spans="1:13" x14ac:dyDescent="0.25">
      <c r="A29" s="199" t="s">
        <v>63</v>
      </c>
      <c r="B29" s="200" t="s">
        <v>177</v>
      </c>
      <c r="C29" s="81" t="s">
        <v>162</v>
      </c>
      <c r="D29" s="128" t="s">
        <v>165</v>
      </c>
      <c r="E29" s="61"/>
      <c r="F29" s="39">
        <v>0.15079999999999999</v>
      </c>
      <c r="G29" s="39">
        <v>0.1961</v>
      </c>
      <c r="H29" s="35">
        <f>+G29-F29</f>
        <v>4.5300000000000007E-2</v>
      </c>
      <c r="I29" s="50">
        <f t="shared" ref="I29" si="8">+ROUND(IF(H29&gt;0,H29*E29,0),4)</f>
        <v>0</v>
      </c>
      <c r="L29" s="68">
        <f>IFERROR(H29-'Nátok z PRDS'!H29,"N/A")</f>
        <v>4.5300000000000007E-2</v>
      </c>
      <c r="M29" s="68">
        <f>IFERROR(H29-'Distribúcia KS v PMDS'!H29,0)</f>
        <v>4.5300000000000007E-2</v>
      </c>
    </row>
    <row r="30" spans="1:13" x14ac:dyDescent="0.25">
      <c r="A30" s="199"/>
      <c r="B30" s="200"/>
      <c r="C30" s="81" t="s">
        <v>179</v>
      </c>
      <c r="D30" s="221" t="s">
        <v>249</v>
      </c>
      <c r="E30" s="201">
        <v>0</v>
      </c>
      <c r="F30" s="39">
        <v>3.9839999999999995</v>
      </c>
      <c r="G30" s="39">
        <v>3.5070000000000001</v>
      </c>
      <c r="H30" s="35" t="s">
        <v>67</v>
      </c>
      <c r="I30" s="35" t="s">
        <v>67</v>
      </c>
      <c r="L30" s="68" t="str">
        <f>IFERROR(H30-'Nátok z PRDS'!H30,"N/A")</f>
        <v>N/A</v>
      </c>
      <c r="M30" s="68">
        <f>IFERROR(H30-'Distribúcia KS v PMDS'!H30,0)</f>
        <v>0</v>
      </c>
    </row>
    <row r="31" spans="1:13" x14ac:dyDescent="0.25">
      <c r="A31" s="199"/>
      <c r="B31" s="200"/>
      <c r="C31" s="81" t="s">
        <v>164</v>
      </c>
      <c r="D31" s="222"/>
      <c r="E31" s="201"/>
      <c r="F31" s="39">
        <v>11.466000000000001</v>
      </c>
      <c r="G31" s="39">
        <v>16.826000000000001</v>
      </c>
      <c r="H31" s="35" t="s">
        <v>67</v>
      </c>
      <c r="I31" s="35" t="s">
        <v>67</v>
      </c>
      <c r="L31" s="68" t="str">
        <f>IFERROR(H31-'Nátok z PRDS'!H31,"N/A")</f>
        <v>N/A</v>
      </c>
      <c r="M31" s="68">
        <f>IFERROR(H31-'Distribúcia KS v PMDS'!H31,0)</f>
        <v>0</v>
      </c>
    </row>
    <row r="32" spans="1:13" x14ac:dyDescent="0.25">
      <c r="A32" s="199"/>
      <c r="B32" s="200"/>
      <c r="C32" s="81" t="s">
        <v>182</v>
      </c>
      <c r="D32" s="223"/>
      <c r="E32" s="201"/>
      <c r="F32" s="35">
        <f>+F30+F31</f>
        <v>15.450000000000001</v>
      </c>
      <c r="G32" s="35">
        <f t="shared" ref="G32" si="9">+G30+G31</f>
        <v>20.333000000000002</v>
      </c>
      <c r="H32" s="35">
        <f>+G32-F32</f>
        <v>4.8830000000000009</v>
      </c>
      <c r="I32" s="50">
        <f>+ROUND(IF(H32&gt;0,H32*E30,0),4)</f>
        <v>0</v>
      </c>
      <c r="L32" s="68">
        <f>IFERROR(H32-'Nátok z PRDS'!H32,"N/A")</f>
        <v>4.8830000000000009</v>
      </c>
      <c r="M32" s="68">
        <f>IFERROR(H32-'Distribúcia KS v PMDS'!H32,0)</f>
        <v>4.8830000000000009</v>
      </c>
    </row>
    <row r="33" spans="1:13" x14ac:dyDescent="0.25">
      <c r="A33" s="199"/>
      <c r="B33" s="200"/>
      <c r="C33" s="81" t="s">
        <v>180</v>
      </c>
      <c r="D33" s="221" t="s">
        <v>249</v>
      </c>
      <c r="E33" s="201">
        <v>0</v>
      </c>
      <c r="F33" s="39"/>
      <c r="G33" s="39"/>
      <c r="H33" s="35" t="s">
        <v>67</v>
      </c>
      <c r="I33" s="35" t="s">
        <v>67</v>
      </c>
      <c r="L33" s="68" t="str">
        <f>IFERROR(H33-'Nátok z PRDS'!H33,"N/A")</f>
        <v>N/A</v>
      </c>
      <c r="M33" s="68">
        <f>IFERROR(H33-'Distribúcia KS v PMDS'!H33,0)</f>
        <v>0</v>
      </c>
    </row>
    <row r="34" spans="1:13" x14ac:dyDescent="0.25">
      <c r="A34" s="199"/>
      <c r="B34" s="200"/>
      <c r="C34" s="81" t="s">
        <v>164</v>
      </c>
      <c r="D34" s="222"/>
      <c r="E34" s="201"/>
      <c r="F34" s="39"/>
      <c r="G34" s="39"/>
      <c r="H34" s="35" t="s">
        <v>67</v>
      </c>
      <c r="I34" s="35" t="s">
        <v>67</v>
      </c>
      <c r="L34" s="68" t="str">
        <f>IFERROR(H34-'Nátok z PRDS'!H34,"N/A")</f>
        <v>N/A</v>
      </c>
      <c r="M34" s="68">
        <f>IFERROR(H34-'Distribúcia KS v PMDS'!H34,0)</f>
        <v>0</v>
      </c>
    </row>
    <row r="35" spans="1:13" x14ac:dyDescent="0.25">
      <c r="A35" s="199"/>
      <c r="B35" s="200"/>
      <c r="C35" s="81" t="s">
        <v>181</v>
      </c>
      <c r="D35" s="223"/>
      <c r="E35" s="201"/>
      <c r="F35" s="35">
        <f>+F33+F34</f>
        <v>0</v>
      </c>
      <c r="G35" s="35">
        <f t="shared" ref="G35" si="10">+G33+G34</f>
        <v>0</v>
      </c>
      <c r="H35" s="35">
        <f>+G35-F35</f>
        <v>0</v>
      </c>
      <c r="I35" s="50">
        <f>+ROUND(IF(H35&gt;0,H35*E33,0),4)</f>
        <v>0</v>
      </c>
      <c r="L35" s="68">
        <f>IFERROR(H35-'Nátok z PRDS'!H35,"N/A")</f>
        <v>0</v>
      </c>
      <c r="M35" s="68">
        <f>IFERROR(H35-'Distribúcia KS v PMDS'!H35,0)</f>
        <v>0</v>
      </c>
    </row>
    <row r="36" spans="1:13" x14ac:dyDescent="0.25">
      <c r="A36" s="199" t="s">
        <v>63</v>
      </c>
      <c r="B36" s="200" t="s">
        <v>200</v>
      </c>
      <c r="C36" s="81" t="s">
        <v>162</v>
      </c>
      <c r="D36" s="128"/>
      <c r="E36" s="61"/>
      <c r="F36" s="39"/>
      <c r="G36" s="39"/>
      <c r="H36" s="35">
        <f>+G36-F36</f>
        <v>0</v>
      </c>
      <c r="I36" s="50">
        <f t="shared" ref="I36" si="11">+ROUND(IF(H36&gt;0,H36*E36,0),4)</f>
        <v>0</v>
      </c>
      <c r="L36" s="68">
        <f>IFERROR(H36-'Nátok z PRDS'!H36,"N/A")</f>
        <v>0</v>
      </c>
      <c r="M36" s="68">
        <f>IFERROR(H36-'Distribúcia KS v PMDS'!H36,0)</f>
        <v>0</v>
      </c>
    </row>
    <row r="37" spans="1:13" x14ac:dyDescent="0.25">
      <c r="A37" s="199"/>
      <c r="B37" s="200"/>
      <c r="C37" s="81" t="s">
        <v>179</v>
      </c>
      <c r="D37" s="221" t="s">
        <v>249</v>
      </c>
      <c r="E37" s="201">
        <v>0</v>
      </c>
      <c r="F37" s="39"/>
      <c r="G37" s="39"/>
      <c r="H37" s="35" t="s">
        <v>67</v>
      </c>
      <c r="I37" s="35" t="s">
        <v>67</v>
      </c>
      <c r="L37" s="68" t="str">
        <f>IFERROR(H37-'Nátok z PRDS'!H37,"N/A")</f>
        <v>N/A</v>
      </c>
      <c r="M37" s="68">
        <f>IFERROR(H37-'Distribúcia KS v PMDS'!H37,0)</f>
        <v>0</v>
      </c>
    </row>
    <row r="38" spans="1:13" x14ac:dyDescent="0.25">
      <c r="A38" s="199"/>
      <c r="B38" s="200"/>
      <c r="C38" s="81" t="s">
        <v>164</v>
      </c>
      <c r="D38" s="222"/>
      <c r="E38" s="201"/>
      <c r="F38" s="39"/>
      <c r="G38" s="39"/>
      <c r="H38" s="35" t="s">
        <v>67</v>
      </c>
      <c r="I38" s="35" t="s">
        <v>67</v>
      </c>
      <c r="L38" s="68" t="str">
        <f>IFERROR(H38-'Nátok z PRDS'!H38,"N/A")</f>
        <v>N/A</v>
      </c>
      <c r="M38" s="68">
        <f>IFERROR(H38-'Distribúcia KS v PMDS'!H38,0)</f>
        <v>0</v>
      </c>
    </row>
    <row r="39" spans="1:13" x14ac:dyDescent="0.25">
      <c r="A39" s="199"/>
      <c r="B39" s="200"/>
      <c r="C39" s="81" t="s">
        <v>182</v>
      </c>
      <c r="D39" s="223"/>
      <c r="E39" s="201"/>
      <c r="F39" s="35">
        <f>+F37+F38</f>
        <v>0</v>
      </c>
      <c r="G39" s="35">
        <f t="shared" ref="G39" si="12">+G37+G38</f>
        <v>0</v>
      </c>
      <c r="H39" s="35">
        <f>+G39-F39</f>
        <v>0</v>
      </c>
      <c r="I39" s="50">
        <f>+ROUND(IF(H39&gt;0,H39*E37,0),4)</f>
        <v>0</v>
      </c>
      <c r="L39" s="68">
        <f>IFERROR(H39-'Nátok z PRDS'!H39,"N/A")</f>
        <v>0</v>
      </c>
      <c r="M39" s="68">
        <f>IFERROR(H39-'Distribúcia KS v PMDS'!H39,0)</f>
        <v>0</v>
      </c>
    </row>
    <row r="40" spans="1:13" x14ac:dyDescent="0.25">
      <c r="A40" s="199"/>
      <c r="B40" s="200"/>
      <c r="C40" s="81" t="s">
        <v>180</v>
      </c>
      <c r="D40" s="221" t="s">
        <v>249</v>
      </c>
      <c r="E40" s="201">
        <v>0</v>
      </c>
      <c r="F40" s="39"/>
      <c r="G40" s="39"/>
      <c r="H40" s="35" t="s">
        <v>67</v>
      </c>
      <c r="I40" s="35" t="s">
        <v>67</v>
      </c>
      <c r="L40" s="68" t="str">
        <f>IFERROR(H40-'Nátok z PRDS'!H40,"N/A")</f>
        <v>N/A</v>
      </c>
      <c r="M40" s="68">
        <f>IFERROR(H40-'Distribúcia KS v PMDS'!H40,0)</f>
        <v>0</v>
      </c>
    </row>
    <row r="41" spans="1:13" x14ac:dyDescent="0.25">
      <c r="A41" s="199"/>
      <c r="B41" s="200"/>
      <c r="C41" s="81" t="s">
        <v>164</v>
      </c>
      <c r="D41" s="222"/>
      <c r="E41" s="201"/>
      <c r="F41" s="39"/>
      <c r="G41" s="39"/>
      <c r="H41" s="35" t="s">
        <v>67</v>
      </c>
      <c r="I41" s="35" t="s">
        <v>67</v>
      </c>
      <c r="L41" s="68" t="str">
        <f>IFERROR(H41-'Nátok z PRDS'!H41,"N/A")</f>
        <v>N/A</v>
      </c>
      <c r="M41" s="68">
        <f>IFERROR(H41-'Distribúcia KS v PMDS'!H41,0)</f>
        <v>0</v>
      </c>
    </row>
    <row r="42" spans="1:13" x14ac:dyDescent="0.25">
      <c r="A42" s="199"/>
      <c r="B42" s="200"/>
      <c r="C42" s="81" t="s">
        <v>181</v>
      </c>
      <c r="D42" s="223"/>
      <c r="E42" s="201"/>
      <c r="F42" s="35">
        <f>+F40+F41</f>
        <v>0</v>
      </c>
      <c r="G42" s="35">
        <f t="shared" ref="G42" si="13">+G40+G41</f>
        <v>0</v>
      </c>
      <c r="H42" s="35">
        <f>+G42-F42</f>
        <v>0</v>
      </c>
      <c r="I42" s="50">
        <f>+ROUND(IF(H42&gt;0,H42*E40,0),4)</f>
        <v>0</v>
      </c>
      <c r="L42" s="68">
        <f>IFERROR(H42-'Nátok z PRDS'!H42,"N/A")</f>
        <v>0</v>
      </c>
      <c r="M42" s="68">
        <f>IFERROR(H42-'Distribúcia KS v PMDS'!H42,0)</f>
        <v>0</v>
      </c>
    </row>
    <row r="43" spans="1:13" x14ac:dyDescent="0.25">
      <c r="A43" s="199" t="s">
        <v>63</v>
      </c>
      <c r="B43" s="200" t="s">
        <v>199</v>
      </c>
      <c r="C43" s="81" t="s">
        <v>162</v>
      </c>
      <c r="D43" s="128"/>
      <c r="E43" s="61"/>
      <c r="F43" s="39"/>
      <c r="G43" s="39"/>
      <c r="H43" s="35">
        <f>+G43-F43</f>
        <v>0</v>
      </c>
      <c r="I43" s="50">
        <f>+ROUND(IF(H43&gt;0,H43*E43,0),4)</f>
        <v>0</v>
      </c>
      <c r="L43" s="68">
        <f>IFERROR(H43-'Nátok z PRDS'!H43,"N/A")</f>
        <v>0</v>
      </c>
      <c r="M43" s="68">
        <f>IFERROR(H43-'Distribúcia KS v PMDS'!H43,0)</f>
        <v>0</v>
      </c>
    </row>
    <row r="44" spans="1:13" x14ac:dyDescent="0.25">
      <c r="A44" s="199"/>
      <c r="B44" s="200"/>
      <c r="C44" s="81" t="s">
        <v>179</v>
      </c>
      <c r="D44" s="221" t="s">
        <v>249</v>
      </c>
      <c r="E44" s="201">
        <v>0</v>
      </c>
      <c r="F44" s="39"/>
      <c r="G44" s="39"/>
      <c r="H44" s="35" t="s">
        <v>67</v>
      </c>
      <c r="I44" s="35" t="s">
        <v>67</v>
      </c>
      <c r="L44" s="68" t="str">
        <f>IFERROR(H44-'Nátok z PRDS'!H44,"N/A")</f>
        <v>N/A</v>
      </c>
      <c r="M44" s="68">
        <f>IFERROR(H44-'Distribúcia KS v PMDS'!H44,0)</f>
        <v>0</v>
      </c>
    </row>
    <row r="45" spans="1:13" x14ac:dyDescent="0.25">
      <c r="A45" s="199"/>
      <c r="B45" s="200"/>
      <c r="C45" s="81" t="s">
        <v>164</v>
      </c>
      <c r="D45" s="222"/>
      <c r="E45" s="201"/>
      <c r="F45" s="39"/>
      <c r="G45" s="39"/>
      <c r="H45" s="35" t="s">
        <v>67</v>
      </c>
      <c r="I45" s="35" t="s">
        <v>67</v>
      </c>
      <c r="L45" s="68" t="str">
        <f>IFERROR(H45-'Nátok z PRDS'!H45,"N/A")</f>
        <v>N/A</v>
      </c>
      <c r="M45" s="68">
        <f>IFERROR(H45-'Distribúcia KS v PMDS'!H45,0)</f>
        <v>0</v>
      </c>
    </row>
    <row r="46" spans="1:13" x14ac:dyDescent="0.25">
      <c r="A46" s="199"/>
      <c r="B46" s="200"/>
      <c r="C46" s="81" t="s">
        <v>182</v>
      </c>
      <c r="D46" s="223"/>
      <c r="E46" s="201"/>
      <c r="F46" s="35">
        <f>+F44+F45</f>
        <v>0</v>
      </c>
      <c r="G46" s="35">
        <f t="shared" ref="G46" si="14">+G44+G45</f>
        <v>0</v>
      </c>
      <c r="H46" s="35">
        <f>+G46-F46</f>
        <v>0</v>
      </c>
      <c r="I46" s="50">
        <f>+ROUND(IF(H46&gt;0,H46*E44,0),4)</f>
        <v>0</v>
      </c>
      <c r="L46" s="68">
        <f>IFERROR(H46-'Nátok z PRDS'!H46,"N/A")</f>
        <v>0</v>
      </c>
      <c r="M46" s="68">
        <f>IFERROR(H46-'Distribúcia KS v PMDS'!H46,0)</f>
        <v>0</v>
      </c>
    </row>
    <row r="47" spans="1:13" x14ac:dyDescent="0.25">
      <c r="A47" s="199"/>
      <c r="B47" s="200"/>
      <c r="C47" s="81" t="s">
        <v>180</v>
      </c>
      <c r="D47" s="221" t="s">
        <v>249</v>
      </c>
      <c r="E47" s="201">
        <v>0</v>
      </c>
      <c r="F47" s="39"/>
      <c r="G47" s="39"/>
      <c r="H47" s="35" t="s">
        <v>67</v>
      </c>
      <c r="I47" s="35" t="s">
        <v>67</v>
      </c>
      <c r="L47" s="68" t="str">
        <f>IFERROR(H47-'Nátok z PRDS'!H47,"N/A")</f>
        <v>N/A</v>
      </c>
      <c r="M47" s="68">
        <f>IFERROR(H47-'Distribúcia KS v PMDS'!H47,0)</f>
        <v>0</v>
      </c>
    </row>
    <row r="48" spans="1:13" x14ac:dyDescent="0.25">
      <c r="A48" s="199"/>
      <c r="B48" s="200"/>
      <c r="C48" s="81" t="s">
        <v>164</v>
      </c>
      <c r="D48" s="222"/>
      <c r="E48" s="201"/>
      <c r="F48" s="39"/>
      <c r="G48" s="39"/>
      <c r="H48" s="35" t="s">
        <v>67</v>
      </c>
      <c r="I48" s="35" t="s">
        <v>67</v>
      </c>
      <c r="L48" s="68" t="str">
        <f>IFERROR(H48-'Nátok z PRDS'!H48,"N/A")</f>
        <v>N/A</v>
      </c>
      <c r="M48" s="68">
        <f>IFERROR(H48-'Distribúcia KS v PMDS'!H48,0)</f>
        <v>0</v>
      </c>
    </row>
    <row r="49" spans="1:13" x14ac:dyDescent="0.25">
      <c r="A49" s="199"/>
      <c r="B49" s="200"/>
      <c r="C49" s="81" t="s">
        <v>181</v>
      </c>
      <c r="D49" s="223"/>
      <c r="E49" s="201"/>
      <c r="F49" s="35">
        <f>+F47+F48</f>
        <v>0</v>
      </c>
      <c r="G49" s="35">
        <f t="shared" ref="G49" si="15">+G47+G48</f>
        <v>0</v>
      </c>
      <c r="H49" s="35">
        <f>+G49-F49</f>
        <v>0</v>
      </c>
      <c r="I49" s="50">
        <f>+ROUND(IF(H49&gt;0,H49*E47,0),4)</f>
        <v>0</v>
      </c>
      <c r="L49" s="68">
        <f>IFERROR(H49-'Nátok z PRDS'!H49,"N/A")</f>
        <v>0</v>
      </c>
      <c r="M49" s="68">
        <f>IFERROR(H49-'Distribúcia KS v PMDS'!H49,0)</f>
        <v>0</v>
      </c>
    </row>
    <row r="50" spans="1:13" x14ac:dyDescent="0.25">
      <c r="A50" s="199" t="s">
        <v>63</v>
      </c>
      <c r="B50" s="200" t="s">
        <v>198</v>
      </c>
      <c r="C50" s="81" t="s">
        <v>162</v>
      </c>
      <c r="D50" s="128"/>
      <c r="E50" s="61"/>
      <c r="F50" s="39"/>
      <c r="G50" s="39"/>
      <c r="H50" s="35">
        <f>+G50-F50</f>
        <v>0</v>
      </c>
      <c r="I50" s="50">
        <f>+ROUND(IF(H50&gt;0,H50*E50,0),4)</f>
        <v>0</v>
      </c>
      <c r="L50" s="68">
        <f>IFERROR(H50-'Nátok z PRDS'!H50,"N/A")</f>
        <v>0</v>
      </c>
      <c r="M50" s="68">
        <f>IFERROR(H50-'Distribúcia KS v PMDS'!H50,0)</f>
        <v>0</v>
      </c>
    </row>
    <row r="51" spans="1:13" x14ac:dyDescent="0.25">
      <c r="A51" s="199"/>
      <c r="B51" s="200"/>
      <c r="C51" s="81" t="s">
        <v>179</v>
      </c>
      <c r="D51" s="221" t="s">
        <v>249</v>
      </c>
      <c r="E51" s="201">
        <v>0</v>
      </c>
      <c r="F51" s="39"/>
      <c r="G51" s="39"/>
      <c r="H51" s="35" t="s">
        <v>67</v>
      </c>
      <c r="I51" s="35" t="s">
        <v>67</v>
      </c>
      <c r="L51" s="68" t="str">
        <f>IFERROR(H51-'Nátok z PRDS'!H51,"N/A")</f>
        <v>N/A</v>
      </c>
      <c r="M51" s="68">
        <f>IFERROR(H51-'Distribúcia KS v PMDS'!H51,0)</f>
        <v>0</v>
      </c>
    </row>
    <row r="52" spans="1:13" x14ac:dyDescent="0.25">
      <c r="A52" s="199"/>
      <c r="B52" s="200"/>
      <c r="C52" s="81" t="s">
        <v>164</v>
      </c>
      <c r="D52" s="222"/>
      <c r="E52" s="201"/>
      <c r="F52" s="39"/>
      <c r="G52" s="39"/>
      <c r="H52" s="35" t="s">
        <v>67</v>
      </c>
      <c r="I52" s="35" t="s">
        <v>67</v>
      </c>
      <c r="L52" s="68" t="str">
        <f>IFERROR(H52-'Nátok z PRDS'!H52,"N/A")</f>
        <v>N/A</v>
      </c>
      <c r="M52" s="68">
        <f>IFERROR(H52-'Distribúcia KS v PMDS'!H52,0)</f>
        <v>0</v>
      </c>
    </row>
    <row r="53" spans="1:13" x14ac:dyDescent="0.25">
      <c r="A53" s="199"/>
      <c r="B53" s="200"/>
      <c r="C53" s="81" t="s">
        <v>182</v>
      </c>
      <c r="D53" s="223"/>
      <c r="E53" s="201"/>
      <c r="F53" s="35">
        <f>+F51+F52</f>
        <v>0</v>
      </c>
      <c r="G53" s="35">
        <f t="shared" ref="G53" si="16">+G51+G52</f>
        <v>0</v>
      </c>
      <c r="H53" s="35">
        <f>+G53-F53</f>
        <v>0</v>
      </c>
      <c r="I53" s="50">
        <f>+ROUND(IF(H53&gt;0,H53*E51,0),4)</f>
        <v>0</v>
      </c>
      <c r="L53" s="68">
        <f>IFERROR(H53-'Nátok z PRDS'!H53,"N/A")</f>
        <v>0</v>
      </c>
      <c r="M53" s="68">
        <f>IFERROR(H53-'Distribúcia KS v PMDS'!H53,0)</f>
        <v>0</v>
      </c>
    </row>
    <row r="54" spans="1:13" x14ac:dyDescent="0.25">
      <c r="A54" s="199"/>
      <c r="B54" s="200"/>
      <c r="C54" s="81" t="s">
        <v>180</v>
      </c>
      <c r="D54" s="221" t="s">
        <v>249</v>
      </c>
      <c r="E54" s="201">
        <v>0</v>
      </c>
      <c r="F54" s="39"/>
      <c r="G54" s="39"/>
      <c r="H54" s="35" t="s">
        <v>67</v>
      </c>
      <c r="I54" s="35" t="s">
        <v>67</v>
      </c>
      <c r="L54" s="68" t="str">
        <f>IFERROR(H54-'Nátok z PRDS'!H54,"N/A")</f>
        <v>N/A</v>
      </c>
      <c r="M54" s="68">
        <f>IFERROR(H54-'Distribúcia KS v PMDS'!H54,0)</f>
        <v>0</v>
      </c>
    </row>
    <row r="55" spans="1:13" x14ac:dyDescent="0.25">
      <c r="A55" s="199"/>
      <c r="B55" s="200"/>
      <c r="C55" s="81" t="s">
        <v>164</v>
      </c>
      <c r="D55" s="222"/>
      <c r="E55" s="201"/>
      <c r="F55" s="39"/>
      <c r="G55" s="39"/>
      <c r="H55" s="35" t="s">
        <v>67</v>
      </c>
      <c r="I55" s="35" t="s">
        <v>67</v>
      </c>
      <c r="L55" s="68" t="str">
        <f>IFERROR(H55-'Nátok z PRDS'!H55,"N/A")</f>
        <v>N/A</v>
      </c>
      <c r="M55" s="68">
        <f>IFERROR(H55-'Distribúcia KS v PMDS'!H55,0)</f>
        <v>0</v>
      </c>
    </row>
    <row r="56" spans="1:13" x14ac:dyDescent="0.25">
      <c r="A56" s="199"/>
      <c r="B56" s="200"/>
      <c r="C56" s="81" t="s">
        <v>181</v>
      </c>
      <c r="D56" s="223"/>
      <c r="E56" s="201"/>
      <c r="F56" s="35">
        <f>+F54+F55</f>
        <v>0</v>
      </c>
      <c r="G56" s="35">
        <f t="shared" ref="G56" si="17">+G54+G55</f>
        <v>0</v>
      </c>
      <c r="H56" s="35">
        <f>+G56-F56</f>
        <v>0</v>
      </c>
      <c r="I56" s="50">
        <f>+ROUND(IF(H56&gt;0,H56*E54,0),4)</f>
        <v>0</v>
      </c>
      <c r="L56" s="68">
        <f>IFERROR(H56-'Nátok z PRDS'!H56,"N/A")</f>
        <v>0</v>
      </c>
      <c r="M56" s="68">
        <f>IFERROR(H56-'Distribúcia KS v PMDS'!H56,0)</f>
        <v>0</v>
      </c>
    </row>
    <row r="57" spans="1:13" x14ac:dyDescent="0.25">
      <c r="A57" s="199" t="s">
        <v>63</v>
      </c>
      <c r="B57" s="200" t="s">
        <v>224</v>
      </c>
      <c r="C57" s="81" t="s">
        <v>162</v>
      </c>
      <c r="D57" s="128"/>
      <c r="E57" s="61"/>
      <c r="F57" s="39"/>
      <c r="G57" s="39"/>
      <c r="H57" s="35">
        <f>+G57-F57</f>
        <v>0</v>
      </c>
      <c r="I57" s="50">
        <f t="shared" ref="I57" si="18">+ROUND(IF(H57&gt;0,H57*E57,0),4)</f>
        <v>0</v>
      </c>
      <c r="L57" s="68">
        <f>IFERROR(H57-'Nátok z PRDS'!H57,"N/A")</f>
        <v>0</v>
      </c>
      <c r="M57" s="68">
        <f>IFERROR(H57-'Distribúcia KS v PMDS'!H57,0)</f>
        <v>0</v>
      </c>
    </row>
    <row r="58" spans="1:13" x14ac:dyDescent="0.25">
      <c r="A58" s="199"/>
      <c r="B58" s="200"/>
      <c r="C58" s="81" t="s">
        <v>179</v>
      </c>
      <c r="D58" s="221" t="s">
        <v>249</v>
      </c>
      <c r="E58" s="201">
        <v>0</v>
      </c>
      <c r="F58" s="39"/>
      <c r="G58" s="39"/>
      <c r="H58" s="35" t="s">
        <v>67</v>
      </c>
      <c r="I58" s="35" t="s">
        <v>67</v>
      </c>
      <c r="L58" s="68" t="str">
        <f>IFERROR(H58-'Nátok z PRDS'!H58,"N/A")</f>
        <v>N/A</v>
      </c>
      <c r="M58" s="68">
        <f>IFERROR(H58-'Distribúcia KS v PMDS'!H58,0)</f>
        <v>0</v>
      </c>
    </row>
    <row r="59" spans="1:13" x14ac:dyDescent="0.25">
      <c r="A59" s="199"/>
      <c r="B59" s="200"/>
      <c r="C59" s="81" t="s">
        <v>164</v>
      </c>
      <c r="D59" s="222"/>
      <c r="E59" s="201"/>
      <c r="F59" s="39"/>
      <c r="G59" s="39"/>
      <c r="H59" s="35" t="s">
        <v>67</v>
      </c>
      <c r="I59" s="35" t="s">
        <v>67</v>
      </c>
      <c r="L59" s="68" t="str">
        <f>IFERROR(H59-'Nátok z PRDS'!H59,"N/A")</f>
        <v>N/A</v>
      </c>
      <c r="M59" s="68">
        <f>IFERROR(H59-'Distribúcia KS v PMDS'!H59,0)</f>
        <v>0</v>
      </c>
    </row>
    <row r="60" spans="1:13" x14ac:dyDescent="0.25">
      <c r="A60" s="199"/>
      <c r="B60" s="200"/>
      <c r="C60" s="81" t="s">
        <v>182</v>
      </c>
      <c r="D60" s="223"/>
      <c r="E60" s="201"/>
      <c r="F60" s="35">
        <f>+F58+F59</f>
        <v>0</v>
      </c>
      <c r="G60" s="35">
        <f t="shared" ref="G60" si="19">+G58+G59</f>
        <v>0</v>
      </c>
      <c r="H60" s="35">
        <f>+G60-F60</f>
        <v>0</v>
      </c>
      <c r="I60" s="50">
        <f>+ROUND(IF(H60&gt;0,H60*E58,0),4)</f>
        <v>0</v>
      </c>
      <c r="L60" s="68">
        <f>IFERROR(H60-'Nátok z PRDS'!H60,"N/A")</f>
        <v>0</v>
      </c>
      <c r="M60" s="68">
        <f>IFERROR(H60-'Distribúcia KS v PMDS'!H60,0)</f>
        <v>0</v>
      </c>
    </row>
    <row r="61" spans="1:13" x14ac:dyDescent="0.25">
      <c r="A61" s="199"/>
      <c r="B61" s="200"/>
      <c r="C61" s="81" t="s">
        <v>180</v>
      </c>
      <c r="D61" s="221" t="s">
        <v>249</v>
      </c>
      <c r="E61" s="201">
        <v>0</v>
      </c>
      <c r="F61" s="39"/>
      <c r="G61" s="39"/>
      <c r="H61" s="35" t="s">
        <v>67</v>
      </c>
      <c r="I61" s="35" t="s">
        <v>67</v>
      </c>
      <c r="L61" s="68" t="str">
        <f>IFERROR(H61-'Nátok z PRDS'!H61,"N/A")</f>
        <v>N/A</v>
      </c>
      <c r="M61" s="68">
        <f>IFERROR(H61-'Distribúcia KS v PMDS'!H61,0)</f>
        <v>0</v>
      </c>
    </row>
    <row r="62" spans="1:13" x14ac:dyDescent="0.25">
      <c r="A62" s="199"/>
      <c r="B62" s="200"/>
      <c r="C62" s="81" t="s">
        <v>164</v>
      </c>
      <c r="D62" s="222"/>
      <c r="E62" s="201"/>
      <c r="F62" s="39"/>
      <c r="G62" s="39"/>
      <c r="H62" s="35" t="s">
        <v>67</v>
      </c>
      <c r="I62" s="35" t="s">
        <v>67</v>
      </c>
      <c r="L62" s="68" t="str">
        <f>IFERROR(H62-'Nátok z PRDS'!H62,"N/A")</f>
        <v>N/A</v>
      </c>
      <c r="M62" s="68">
        <f>IFERROR(H62-'Distribúcia KS v PMDS'!H62,0)</f>
        <v>0</v>
      </c>
    </row>
    <row r="63" spans="1:13" x14ac:dyDescent="0.25">
      <c r="A63" s="199"/>
      <c r="B63" s="200"/>
      <c r="C63" s="81" t="s">
        <v>181</v>
      </c>
      <c r="D63" s="223"/>
      <c r="E63" s="201"/>
      <c r="F63" s="35">
        <f>+F61+F62</f>
        <v>0</v>
      </c>
      <c r="G63" s="35">
        <f t="shared" ref="G63" si="20">+G61+G62</f>
        <v>0</v>
      </c>
      <c r="H63" s="35">
        <f>+G63-F63</f>
        <v>0</v>
      </c>
      <c r="I63" s="50">
        <f>+ROUND(IF(H63&gt;0,H63*E61,0),4)</f>
        <v>0</v>
      </c>
      <c r="L63" s="68">
        <f>IFERROR(H63-'Nátok z PRDS'!H63,"N/A")</f>
        <v>0</v>
      </c>
      <c r="M63" s="68">
        <f>IFERROR(H63-'Distribúcia KS v PMDS'!H63,0)</f>
        <v>0</v>
      </c>
    </row>
    <row r="64" spans="1:13" x14ac:dyDescent="0.25">
      <c r="A64" s="199" t="s">
        <v>235</v>
      </c>
      <c r="B64" s="200" t="s">
        <v>225</v>
      </c>
      <c r="C64" s="81" t="s">
        <v>162</v>
      </c>
      <c r="D64" s="128"/>
      <c r="E64" s="61"/>
      <c r="F64" s="39"/>
      <c r="G64" s="39"/>
      <c r="H64" s="35">
        <f>+G64-F64</f>
        <v>0</v>
      </c>
      <c r="I64" s="50">
        <f t="shared" ref="I64" si="21">+ROUND(IF(H64&gt;0,H64*E64,0),4)</f>
        <v>0</v>
      </c>
      <c r="L64" s="68">
        <f>IFERROR(H64-'Nátok z PRDS'!H64,"N/A")</f>
        <v>0</v>
      </c>
      <c r="M64" s="68">
        <f>IFERROR(H64-'Distribúcia KS v PMDS'!H64,0)</f>
        <v>0</v>
      </c>
    </row>
    <row r="65" spans="1:13" x14ac:dyDescent="0.25">
      <c r="A65" s="199"/>
      <c r="B65" s="200"/>
      <c r="C65" s="81" t="s">
        <v>226</v>
      </c>
      <c r="D65" s="221" t="s">
        <v>249</v>
      </c>
      <c r="E65" s="201">
        <v>0</v>
      </c>
      <c r="F65" s="39"/>
      <c r="G65" s="39"/>
      <c r="H65" s="35" t="s">
        <v>67</v>
      </c>
      <c r="I65" s="35" t="s">
        <v>67</v>
      </c>
      <c r="L65" s="68" t="str">
        <f>IFERROR(H65-'Nátok z PRDS'!H65,"N/A")</f>
        <v>N/A</v>
      </c>
      <c r="M65" s="68">
        <f>IFERROR(H65-'Distribúcia KS v PMDS'!H65,0)</f>
        <v>0</v>
      </c>
    </row>
    <row r="66" spans="1:13" x14ac:dyDescent="0.25">
      <c r="A66" s="199"/>
      <c r="B66" s="200"/>
      <c r="C66" s="81" t="s">
        <v>164</v>
      </c>
      <c r="D66" s="222"/>
      <c r="E66" s="201"/>
      <c r="F66" s="39"/>
      <c r="G66" s="39"/>
      <c r="H66" s="35" t="s">
        <v>67</v>
      </c>
      <c r="I66" s="35" t="s">
        <v>67</v>
      </c>
      <c r="L66" s="68" t="str">
        <f>IFERROR(H66-'Nátok z PRDS'!H66,"N/A")</f>
        <v>N/A</v>
      </c>
      <c r="M66" s="68">
        <f>IFERROR(H66-'Distribúcia KS v PMDS'!H66,0)</f>
        <v>0</v>
      </c>
    </row>
    <row r="67" spans="1:13" x14ac:dyDescent="0.25">
      <c r="A67" s="199"/>
      <c r="B67" s="200"/>
      <c r="C67" s="81" t="s">
        <v>227</v>
      </c>
      <c r="D67" s="223"/>
      <c r="E67" s="201"/>
      <c r="F67" s="35">
        <f>+F65+F66</f>
        <v>0</v>
      </c>
      <c r="G67" s="35">
        <f t="shared" ref="G67" si="22">+G65+G66</f>
        <v>0</v>
      </c>
      <c r="H67" s="35">
        <f>+G67-F67</f>
        <v>0</v>
      </c>
      <c r="I67" s="50">
        <f>+ROUND(IF(H67&gt;0,H67*E65,0),4)</f>
        <v>0</v>
      </c>
      <c r="L67" s="68">
        <f>IFERROR(H67-'Nátok z PRDS'!H67,"N/A")</f>
        <v>0</v>
      </c>
      <c r="M67" s="68">
        <f>IFERROR(H67-'Distribúcia KS v PMDS'!H67,0)</f>
        <v>0</v>
      </c>
    </row>
    <row r="68" spans="1:13" x14ac:dyDescent="0.25">
      <c r="A68" s="199"/>
      <c r="B68" s="200"/>
      <c r="C68" s="81" t="s">
        <v>179</v>
      </c>
      <c r="D68" s="221" t="s">
        <v>249</v>
      </c>
      <c r="E68" s="201">
        <v>0</v>
      </c>
      <c r="F68" s="39"/>
      <c r="G68" s="39"/>
      <c r="H68" s="35" t="s">
        <v>67</v>
      </c>
      <c r="I68" s="35" t="s">
        <v>67</v>
      </c>
      <c r="L68" s="68" t="str">
        <f>IFERROR(H68-'Nátok z PRDS'!H68,"N/A")</f>
        <v>N/A</v>
      </c>
      <c r="M68" s="68">
        <f>IFERROR(H68-'Distribúcia KS v PMDS'!H68,0)</f>
        <v>0</v>
      </c>
    </row>
    <row r="69" spans="1:13" x14ac:dyDescent="0.25">
      <c r="A69" s="199"/>
      <c r="B69" s="200"/>
      <c r="C69" s="81" t="s">
        <v>164</v>
      </c>
      <c r="D69" s="222"/>
      <c r="E69" s="201"/>
      <c r="F69" s="39"/>
      <c r="G69" s="39"/>
      <c r="H69" s="35" t="s">
        <v>67</v>
      </c>
      <c r="I69" s="35" t="s">
        <v>67</v>
      </c>
      <c r="L69" s="68" t="str">
        <f>IFERROR(H69-'Nátok z PRDS'!H69,"N/A")</f>
        <v>N/A</v>
      </c>
      <c r="M69" s="68">
        <f>IFERROR(H69-'Distribúcia KS v PMDS'!H69,0)</f>
        <v>0</v>
      </c>
    </row>
    <row r="70" spans="1:13" x14ac:dyDescent="0.25">
      <c r="A70" s="199"/>
      <c r="B70" s="200"/>
      <c r="C70" s="81" t="s">
        <v>182</v>
      </c>
      <c r="D70" s="223"/>
      <c r="E70" s="201"/>
      <c r="F70" s="35">
        <f>+F68+F69</f>
        <v>0</v>
      </c>
      <c r="G70" s="35">
        <f t="shared" ref="G70" si="23">+G68+G69</f>
        <v>0</v>
      </c>
      <c r="H70" s="35">
        <f>+G70-F70</f>
        <v>0</v>
      </c>
      <c r="I70" s="50">
        <f>+ROUND(IF(H70&gt;0,H70*E68,0),4)</f>
        <v>0</v>
      </c>
      <c r="L70" s="68">
        <f>IFERROR(H70-'Nátok z PRDS'!H70,"N/A")</f>
        <v>0</v>
      </c>
      <c r="M70" s="68">
        <f>IFERROR(H70-'Distribúcia KS v PMDS'!H70,0)</f>
        <v>0</v>
      </c>
    </row>
    <row r="71" spans="1:13" x14ac:dyDescent="0.25">
      <c r="A71" s="199"/>
      <c r="B71" s="200"/>
      <c r="C71" s="81" t="s">
        <v>180</v>
      </c>
      <c r="D71" s="221" t="s">
        <v>249</v>
      </c>
      <c r="E71" s="201">
        <v>0</v>
      </c>
      <c r="F71" s="39"/>
      <c r="G71" s="39"/>
      <c r="H71" s="35" t="s">
        <v>67</v>
      </c>
      <c r="I71" s="35" t="s">
        <v>67</v>
      </c>
      <c r="L71" s="68" t="str">
        <f>IFERROR(H71-'Nátok z PRDS'!H71,"N/A")</f>
        <v>N/A</v>
      </c>
      <c r="M71" s="68">
        <f>IFERROR(H71-'Distribúcia KS v PMDS'!H71,0)</f>
        <v>0</v>
      </c>
    </row>
    <row r="72" spans="1:13" x14ac:dyDescent="0.25">
      <c r="A72" s="199"/>
      <c r="B72" s="200"/>
      <c r="C72" s="81" t="s">
        <v>164</v>
      </c>
      <c r="D72" s="222"/>
      <c r="E72" s="201"/>
      <c r="F72" s="39"/>
      <c r="G72" s="39"/>
      <c r="H72" s="35" t="s">
        <v>67</v>
      </c>
      <c r="I72" s="35" t="s">
        <v>67</v>
      </c>
      <c r="L72" s="68" t="str">
        <f>IFERROR(H72-'Nátok z PRDS'!H72,"N/A")</f>
        <v>N/A</v>
      </c>
      <c r="M72" s="68">
        <f>IFERROR(H72-'Distribúcia KS v PMDS'!H72,0)</f>
        <v>0</v>
      </c>
    </row>
    <row r="73" spans="1:13" x14ac:dyDescent="0.25">
      <c r="A73" s="199"/>
      <c r="B73" s="200"/>
      <c r="C73" s="81" t="s">
        <v>181</v>
      </c>
      <c r="D73" s="223"/>
      <c r="E73" s="201"/>
      <c r="F73" s="35">
        <f>+F71+F72</f>
        <v>0</v>
      </c>
      <c r="G73" s="35">
        <f t="shared" ref="G73" si="24">+G71+G72</f>
        <v>0</v>
      </c>
      <c r="H73" s="35">
        <f>+G73-F73</f>
        <v>0</v>
      </c>
      <c r="I73" s="50">
        <f>+ROUND(IF(H73&gt;0,H73*E71,0),4)</f>
        <v>0</v>
      </c>
      <c r="L73" s="68">
        <f>IFERROR(H73-'Nátok z PRDS'!H73,"N/A")</f>
        <v>0</v>
      </c>
      <c r="M73" s="68">
        <f>IFERROR(H73-'Distribúcia KS v PMDS'!H73,0)</f>
        <v>0</v>
      </c>
    </row>
    <row r="74" spans="1:13" x14ac:dyDescent="0.25">
      <c r="A74" s="199"/>
      <c r="B74" s="200"/>
      <c r="C74" s="81" t="s">
        <v>228</v>
      </c>
      <c r="D74" s="221" t="s">
        <v>249</v>
      </c>
      <c r="E74" s="201">
        <v>0</v>
      </c>
      <c r="F74" s="39"/>
      <c r="G74" s="39"/>
      <c r="H74" s="35" t="s">
        <v>67</v>
      </c>
      <c r="I74" s="35" t="s">
        <v>67</v>
      </c>
      <c r="L74" s="68" t="str">
        <f>IFERROR(H74-'Nátok z PRDS'!H74,"N/A")</f>
        <v>N/A</v>
      </c>
      <c r="M74" s="68">
        <f>IFERROR(H74-'Distribúcia KS v PMDS'!H74,0)</f>
        <v>0</v>
      </c>
    </row>
    <row r="75" spans="1:13" x14ac:dyDescent="0.25">
      <c r="A75" s="199"/>
      <c r="B75" s="200"/>
      <c r="C75" s="81" t="s">
        <v>164</v>
      </c>
      <c r="D75" s="222"/>
      <c r="E75" s="201"/>
      <c r="F75" s="39"/>
      <c r="G75" s="39"/>
      <c r="H75" s="35" t="s">
        <v>67</v>
      </c>
      <c r="I75" s="35" t="s">
        <v>67</v>
      </c>
      <c r="L75" s="68" t="str">
        <f>IFERROR(H75-'Nátok z PRDS'!H75,"N/A")</f>
        <v>N/A</v>
      </c>
      <c r="M75" s="68">
        <f>IFERROR(H75-'Distribúcia KS v PMDS'!H75,0)</f>
        <v>0</v>
      </c>
    </row>
    <row r="76" spans="1:13" x14ac:dyDescent="0.25">
      <c r="A76" s="199"/>
      <c r="B76" s="200"/>
      <c r="C76" s="81" t="s">
        <v>229</v>
      </c>
      <c r="D76" s="223"/>
      <c r="E76" s="201"/>
      <c r="F76" s="35">
        <f>+F74+F75</f>
        <v>0</v>
      </c>
      <c r="G76" s="35">
        <f t="shared" ref="G76" si="25">+G74+G75</f>
        <v>0</v>
      </c>
      <c r="H76" s="35">
        <f>+G76-F76</f>
        <v>0</v>
      </c>
      <c r="I76" s="50">
        <f>+ROUND(IF(H76&gt;0,H76*E74,0),4)</f>
        <v>0</v>
      </c>
      <c r="L76" s="68">
        <f>IFERROR(H76-'Nátok z PRDS'!H76,"N/A")</f>
        <v>0</v>
      </c>
      <c r="M76" s="68">
        <f>IFERROR(H76-'Distribúcia KS v PMDS'!H76,0)</f>
        <v>0</v>
      </c>
    </row>
    <row r="77" spans="1:13" x14ac:dyDescent="0.25">
      <c r="A77" s="209" t="s">
        <v>63</v>
      </c>
      <c r="B77" s="210" t="s">
        <v>188</v>
      </c>
      <c r="C77" s="109" t="s">
        <v>162</v>
      </c>
      <c r="D77" s="121" t="s">
        <v>67</v>
      </c>
      <c r="E77" s="52" t="s">
        <v>67</v>
      </c>
      <c r="F77" s="52" t="s">
        <v>67</v>
      </c>
      <c r="G77" s="52" t="s">
        <v>67</v>
      </c>
      <c r="H77" s="52" t="s">
        <v>67</v>
      </c>
      <c r="I77" s="52">
        <f>+I5+I9+I10+I14+I21+I22+I29+I36+I43+I50+I57+I64</f>
        <v>0</v>
      </c>
      <c r="L77" s="68" t="str">
        <f>IFERROR(H77-'Nátok z PRDS'!H77,"N/A")</f>
        <v>N/A</v>
      </c>
      <c r="M77" s="68">
        <f>IFERROR(H77-'Distribúcia KS v PMDS'!H77,0)</f>
        <v>0</v>
      </c>
    </row>
    <row r="78" spans="1:13" x14ac:dyDescent="0.25">
      <c r="A78" s="209"/>
      <c r="B78" s="210"/>
      <c r="C78" s="109" t="s">
        <v>168</v>
      </c>
      <c r="D78" s="121"/>
      <c r="E78" s="52">
        <f>SUM(E6,E11,E15,E18,E23,E26,E30,E33,E37,E40,E44,E47,E51,E54,E58,E61,E65,E68,E71,E74)</f>
        <v>0</v>
      </c>
      <c r="F78" s="52" t="s">
        <v>67</v>
      </c>
      <c r="G78" s="52" t="s">
        <v>67</v>
      </c>
      <c r="H78" s="52" t="s">
        <v>67</v>
      </c>
      <c r="I78" s="52">
        <f>+I8+I13+I17+I20+I25+I28+I32+I35+I39+I42+I46+I49+I53+I56+I60+I63+I67+I70+I73+I76</f>
        <v>0</v>
      </c>
      <c r="L78" s="68" t="str">
        <f>IFERROR(H78-'Nátok z PRDS'!H78,"N/A")</f>
        <v>N/A</v>
      </c>
      <c r="M78" s="68">
        <f>IFERROR(H78-'Distribúcia KS v PMDS'!H78,0)</f>
        <v>0</v>
      </c>
    </row>
    <row r="79" spans="1:13" x14ac:dyDescent="0.25">
      <c r="A79" s="199" t="s">
        <v>64</v>
      </c>
      <c r="B79" s="200" t="s">
        <v>197</v>
      </c>
      <c r="C79" s="81" t="s">
        <v>230</v>
      </c>
      <c r="D79" s="128" t="s">
        <v>165</v>
      </c>
      <c r="E79" s="61"/>
      <c r="F79" s="39"/>
      <c r="G79" s="39"/>
      <c r="H79" s="35">
        <f>+G79-F79</f>
        <v>0</v>
      </c>
      <c r="I79" s="50">
        <f>+ROUND(IF(H79&gt;0,H79*E79,0),4)</f>
        <v>0</v>
      </c>
      <c r="L79" s="68">
        <f>IFERROR(H79-'Nátok z PRDS'!H79,"N/A")</f>
        <v>0</v>
      </c>
      <c r="M79" s="68">
        <f>IFERROR(H79-'Distribúcia KS v PMDS'!H79,0)</f>
        <v>0</v>
      </c>
    </row>
    <row r="80" spans="1:13" x14ac:dyDescent="0.25">
      <c r="A80" s="199"/>
      <c r="B80" s="200"/>
      <c r="C80" s="81" t="s">
        <v>231</v>
      </c>
      <c r="D80" s="128" t="s">
        <v>166</v>
      </c>
      <c r="E80" s="61"/>
      <c r="F80" s="39"/>
      <c r="G80" s="39"/>
      <c r="H80" s="35">
        <f>+G80-F80</f>
        <v>0</v>
      </c>
      <c r="I80" s="50">
        <f>+ROUND(IF(H80&gt;0,H80*E80,0),4)</f>
        <v>0</v>
      </c>
      <c r="L80" s="68">
        <f>IFERROR(H80-'Nátok z PRDS'!H80,"N/A")</f>
        <v>0</v>
      </c>
      <c r="M80" s="68">
        <f>IFERROR(H80-'Distribúcia KS v PMDS'!H80,0)</f>
        <v>0</v>
      </c>
    </row>
    <row r="81" spans="1:13" x14ac:dyDescent="0.25">
      <c r="A81" s="199"/>
      <c r="B81" s="200"/>
      <c r="C81" s="81" t="s">
        <v>163</v>
      </c>
      <c r="D81" s="221" t="s">
        <v>249</v>
      </c>
      <c r="E81" s="201">
        <f>+E82</f>
        <v>0</v>
      </c>
      <c r="F81" s="39"/>
      <c r="G81" s="39"/>
      <c r="H81" s="35" t="s">
        <v>67</v>
      </c>
      <c r="I81" s="35" t="s">
        <v>67</v>
      </c>
      <c r="L81" s="68" t="str">
        <f>IFERROR(H81-'Nátok z PRDS'!H81,"N/A")</f>
        <v>N/A</v>
      </c>
      <c r="M81" s="68">
        <f>IFERROR(H81-'Distribúcia KS v PMDS'!H81,0)</f>
        <v>0</v>
      </c>
    </row>
    <row r="82" spans="1:13" x14ac:dyDescent="0.25">
      <c r="A82" s="199"/>
      <c r="B82" s="200"/>
      <c r="C82" s="81" t="s">
        <v>164</v>
      </c>
      <c r="D82" s="222"/>
      <c r="E82" s="201"/>
      <c r="F82" s="39"/>
      <c r="G82" s="39"/>
      <c r="H82" s="35" t="s">
        <v>67</v>
      </c>
      <c r="I82" s="35" t="s">
        <v>67</v>
      </c>
      <c r="L82" s="68" t="str">
        <f>IFERROR(H82-'Nátok z PRDS'!H82,"N/A")</f>
        <v>N/A</v>
      </c>
      <c r="M82" s="68">
        <f>IFERROR(H82-'Distribúcia KS v PMDS'!H82,0)</f>
        <v>0</v>
      </c>
    </row>
    <row r="83" spans="1:13" x14ac:dyDescent="0.25">
      <c r="A83" s="199"/>
      <c r="B83" s="200"/>
      <c r="C83" s="81" t="s">
        <v>168</v>
      </c>
      <c r="D83" s="223"/>
      <c r="E83" s="201"/>
      <c r="F83" s="35">
        <f>+F81+F82</f>
        <v>0</v>
      </c>
      <c r="G83" s="35">
        <f t="shared" ref="G83" si="26">+G81+G82</f>
        <v>0</v>
      </c>
      <c r="H83" s="35">
        <f>+G83-F83</f>
        <v>0</v>
      </c>
      <c r="I83" s="50">
        <f>+ROUND(IF(H83&gt;0,H83*E81,0),4)</f>
        <v>0</v>
      </c>
      <c r="L83" s="68">
        <f>IFERROR(H83-'Nátok z PRDS'!H83,"N/A")</f>
        <v>0</v>
      </c>
      <c r="M83" s="68">
        <f>IFERROR(H83-'Distribúcia KS v PMDS'!H83,0)</f>
        <v>0</v>
      </c>
    </row>
    <row r="84" spans="1:13" x14ac:dyDescent="0.25">
      <c r="A84" s="199" t="s">
        <v>64</v>
      </c>
      <c r="B84" s="200" t="s">
        <v>171</v>
      </c>
      <c r="C84" s="81" t="s">
        <v>230</v>
      </c>
      <c r="D84" s="128" t="s">
        <v>165</v>
      </c>
      <c r="E84" s="61"/>
      <c r="F84" s="39">
        <v>0.22020000000000001</v>
      </c>
      <c r="G84" s="39">
        <v>0.24199999999999999</v>
      </c>
      <c r="H84" s="35">
        <f>+G84-F84</f>
        <v>2.1799999999999986E-2</v>
      </c>
      <c r="I84" s="50">
        <f t="shared" ref="I84:I85" si="27">+ROUND(IF(H84&gt;0,H84*E84,0),4)</f>
        <v>0</v>
      </c>
      <c r="L84" s="68">
        <f>IFERROR(H84-'Nátok z PRDS'!H84,"N/A")</f>
        <v>2.1799999999999986E-2</v>
      </c>
      <c r="M84" s="68">
        <f>IFERROR(H84-'Distribúcia KS v PMDS'!H84,0)</f>
        <v>2.1799999999999986E-2</v>
      </c>
    </row>
    <row r="85" spans="1:13" x14ac:dyDescent="0.25">
      <c r="A85" s="199"/>
      <c r="B85" s="200"/>
      <c r="C85" s="81" t="s">
        <v>231</v>
      </c>
      <c r="D85" s="128" t="s">
        <v>166</v>
      </c>
      <c r="E85" s="61"/>
      <c r="F85" s="39">
        <v>0.95740000000000003</v>
      </c>
      <c r="G85" s="39">
        <v>1.0522</v>
      </c>
      <c r="H85" s="35">
        <f>+G85-F85</f>
        <v>9.4799999999999995E-2</v>
      </c>
      <c r="I85" s="50">
        <f t="shared" si="27"/>
        <v>0</v>
      </c>
      <c r="L85" s="68">
        <f>IFERROR(H85-'Nátok z PRDS'!H85,"N/A")</f>
        <v>9.4799999999999995E-2</v>
      </c>
      <c r="M85" s="68">
        <f>IFERROR(H85-'Distribúcia KS v PMDS'!H85,0)</f>
        <v>9.4799999999999995E-2</v>
      </c>
    </row>
    <row r="86" spans="1:13" x14ac:dyDescent="0.25">
      <c r="A86" s="199"/>
      <c r="B86" s="200"/>
      <c r="C86" s="81" t="s">
        <v>163</v>
      </c>
      <c r="D86" s="221" t="s">
        <v>249</v>
      </c>
      <c r="E86" s="201">
        <f>+E87</f>
        <v>0</v>
      </c>
      <c r="F86" s="39">
        <v>24.730999999999998</v>
      </c>
      <c r="G86" s="39">
        <v>24.670999999999999</v>
      </c>
      <c r="H86" s="35" t="s">
        <v>67</v>
      </c>
      <c r="I86" s="35" t="s">
        <v>67</v>
      </c>
      <c r="L86" s="68" t="str">
        <f>IFERROR(H86-'Nátok z PRDS'!H86,"N/A")</f>
        <v>N/A</v>
      </c>
      <c r="M86" s="68">
        <f>IFERROR(H86-'Distribúcia KS v PMDS'!H86,0)</f>
        <v>0</v>
      </c>
    </row>
    <row r="87" spans="1:13" x14ac:dyDescent="0.25">
      <c r="A87" s="199"/>
      <c r="B87" s="200"/>
      <c r="C87" s="81" t="s">
        <v>164</v>
      </c>
      <c r="D87" s="222"/>
      <c r="E87" s="201"/>
      <c r="F87" s="39">
        <v>11.466000000000001</v>
      </c>
      <c r="G87" s="39">
        <v>16.826000000000001</v>
      </c>
      <c r="H87" s="35" t="s">
        <v>67</v>
      </c>
      <c r="I87" s="35" t="s">
        <v>67</v>
      </c>
      <c r="L87" s="68" t="str">
        <f>IFERROR(H87-'Nátok z PRDS'!H87,"N/A")</f>
        <v>N/A</v>
      </c>
      <c r="M87" s="68">
        <f>IFERROR(H87-'Distribúcia KS v PMDS'!H87,0)</f>
        <v>0</v>
      </c>
    </row>
    <row r="88" spans="1:13" x14ac:dyDescent="0.25">
      <c r="A88" s="199"/>
      <c r="B88" s="200"/>
      <c r="C88" s="81" t="s">
        <v>168</v>
      </c>
      <c r="D88" s="223"/>
      <c r="E88" s="201"/>
      <c r="F88" s="35">
        <f>+F86+F87</f>
        <v>36.197000000000003</v>
      </c>
      <c r="G88" s="35">
        <f t="shared" ref="G88" si="28">+G86+G87</f>
        <v>41.497</v>
      </c>
      <c r="H88" s="35">
        <f>+G88-F88</f>
        <v>5.2999999999999972</v>
      </c>
      <c r="I88" s="50">
        <f>+ROUND(IF(H88&gt;0,H88*E86,0),4)</f>
        <v>0</v>
      </c>
      <c r="L88" s="68">
        <f>IFERROR(H88-'Nátok z PRDS'!H88,"N/A")</f>
        <v>5.2999999999999972</v>
      </c>
      <c r="M88" s="68">
        <f>IFERROR(H88-'Distribúcia KS v PMDS'!H88,0)</f>
        <v>5.2999999999999972</v>
      </c>
    </row>
    <row r="89" spans="1:13" x14ac:dyDescent="0.25">
      <c r="A89" s="199" t="s">
        <v>64</v>
      </c>
      <c r="B89" s="200" t="s">
        <v>196</v>
      </c>
      <c r="C89" s="81" t="s">
        <v>230</v>
      </c>
      <c r="D89" s="128" t="s">
        <v>165</v>
      </c>
      <c r="E89" s="61"/>
      <c r="F89" s="39"/>
      <c r="G89" s="39"/>
      <c r="H89" s="35">
        <f>+G89-F89</f>
        <v>0</v>
      </c>
      <c r="I89" s="50">
        <f t="shared" ref="I89:I90" si="29">+ROUND(IF(H89&gt;0,H89*E89,0),4)</f>
        <v>0</v>
      </c>
      <c r="L89" s="68">
        <f>IFERROR(H89-'Nátok z PRDS'!H89,"N/A")</f>
        <v>0</v>
      </c>
      <c r="M89" s="68">
        <f>IFERROR(H89-'Distribúcia KS v PMDS'!H89,0)</f>
        <v>0</v>
      </c>
    </row>
    <row r="90" spans="1:13" x14ac:dyDescent="0.25">
      <c r="A90" s="199"/>
      <c r="B90" s="200"/>
      <c r="C90" s="81" t="s">
        <v>231</v>
      </c>
      <c r="D90" s="128" t="s">
        <v>166</v>
      </c>
      <c r="E90" s="61"/>
      <c r="F90" s="39"/>
      <c r="G90" s="39"/>
      <c r="H90" s="35">
        <f>+G90-F90</f>
        <v>0</v>
      </c>
      <c r="I90" s="50">
        <f t="shared" si="29"/>
        <v>0</v>
      </c>
      <c r="L90" s="68">
        <f>IFERROR(H90-'Nátok z PRDS'!H90,"N/A")</f>
        <v>0</v>
      </c>
      <c r="M90" s="68">
        <f>IFERROR(H90-'Distribúcia KS v PMDS'!H90,0)</f>
        <v>0</v>
      </c>
    </row>
    <row r="91" spans="1:13" x14ac:dyDescent="0.25">
      <c r="A91" s="199"/>
      <c r="B91" s="200"/>
      <c r="C91" s="81" t="s">
        <v>163</v>
      </c>
      <c r="D91" s="221" t="s">
        <v>249</v>
      </c>
      <c r="E91" s="201">
        <f>+E92</f>
        <v>0</v>
      </c>
      <c r="F91" s="39"/>
      <c r="G91" s="39"/>
      <c r="H91" s="35" t="s">
        <v>67</v>
      </c>
      <c r="I91" s="35" t="s">
        <v>67</v>
      </c>
      <c r="L91" s="68" t="str">
        <f>IFERROR(H91-'Nátok z PRDS'!H91,"N/A")</f>
        <v>N/A</v>
      </c>
      <c r="M91" s="68">
        <f>IFERROR(H91-'Distribúcia KS v PMDS'!H91,0)</f>
        <v>0</v>
      </c>
    </row>
    <row r="92" spans="1:13" x14ac:dyDescent="0.25">
      <c r="A92" s="199"/>
      <c r="B92" s="200"/>
      <c r="C92" s="81" t="s">
        <v>164</v>
      </c>
      <c r="D92" s="222"/>
      <c r="E92" s="201"/>
      <c r="F92" s="39"/>
      <c r="G92" s="39"/>
      <c r="H92" s="35" t="s">
        <v>67</v>
      </c>
      <c r="I92" s="35" t="s">
        <v>67</v>
      </c>
      <c r="L92" s="68" t="str">
        <f>IFERROR(H92-'Nátok z PRDS'!H92,"N/A")</f>
        <v>N/A</v>
      </c>
      <c r="M92" s="68">
        <f>IFERROR(H92-'Distribúcia KS v PMDS'!H92,0)</f>
        <v>0</v>
      </c>
    </row>
    <row r="93" spans="1:13" x14ac:dyDescent="0.25">
      <c r="A93" s="199"/>
      <c r="B93" s="200"/>
      <c r="C93" s="81" t="s">
        <v>168</v>
      </c>
      <c r="D93" s="223"/>
      <c r="E93" s="201"/>
      <c r="F93" s="35">
        <f>+F91+F92</f>
        <v>0</v>
      </c>
      <c r="G93" s="35">
        <f t="shared" ref="G93" si="30">+G91+G92</f>
        <v>0</v>
      </c>
      <c r="H93" s="35">
        <f>+G93-F93</f>
        <v>0</v>
      </c>
      <c r="I93" s="50">
        <f>+ROUND(IF(H93&gt;0,H93*E91,0),4)</f>
        <v>0</v>
      </c>
      <c r="L93" s="68">
        <f>IFERROR(H93-'Nátok z PRDS'!H93,"N/A")</f>
        <v>0</v>
      </c>
      <c r="M93" s="68">
        <f>IFERROR(H93-'Distribúcia KS v PMDS'!H93,0)</f>
        <v>0</v>
      </c>
    </row>
    <row r="94" spans="1:13" x14ac:dyDescent="0.25">
      <c r="A94" s="199" t="s">
        <v>64</v>
      </c>
      <c r="B94" s="200" t="s">
        <v>195</v>
      </c>
      <c r="C94" s="81" t="s">
        <v>230</v>
      </c>
      <c r="D94" s="128" t="s">
        <v>165</v>
      </c>
      <c r="E94" s="61"/>
      <c r="F94" s="39"/>
      <c r="G94" s="39"/>
      <c r="H94" s="35">
        <f>+G94-F94</f>
        <v>0</v>
      </c>
      <c r="I94" s="50">
        <f>+ROUND(IF(H94&gt;0,H94*E94,0),4)</f>
        <v>0</v>
      </c>
      <c r="L94" s="68">
        <f>IFERROR(H94-'Nátok z PRDS'!H94,"N/A")</f>
        <v>0</v>
      </c>
      <c r="M94" s="68">
        <f>IFERROR(H94-'Distribúcia KS v PMDS'!H94,0)</f>
        <v>0</v>
      </c>
    </row>
    <row r="95" spans="1:13" x14ac:dyDescent="0.25">
      <c r="A95" s="199"/>
      <c r="B95" s="200"/>
      <c r="C95" s="81" t="s">
        <v>231</v>
      </c>
      <c r="D95" s="128" t="s">
        <v>166</v>
      </c>
      <c r="E95" s="61"/>
      <c r="F95" s="39"/>
      <c r="G95" s="39"/>
      <c r="H95" s="35">
        <f>+G95-F95</f>
        <v>0</v>
      </c>
      <c r="I95" s="50">
        <f>+ROUND(IF(H95&gt;0,H95*E95,0),4)</f>
        <v>0</v>
      </c>
      <c r="L95" s="68">
        <f>IFERROR(H95-'Nátok z PRDS'!H95,"N/A")</f>
        <v>0</v>
      </c>
      <c r="M95" s="68">
        <f>IFERROR(H95-'Distribúcia KS v PMDS'!H95,0)</f>
        <v>0</v>
      </c>
    </row>
    <row r="96" spans="1:13" x14ac:dyDescent="0.25">
      <c r="A96" s="199"/>
      <c r="B96" s="200"/>
      <c r="C96" s="81" t="s">
        <v>179</v>
      </c>
      <c r="D96" s="221" t="s">
        <v>249</v>
      </c>
      <c r="E96" s="201">
        <v>0</v>
      </c>
      <c r="F96" s="39"/>
      <c r="G96" s="39"/>
      <c r="H96" s="35" t="s">
        <v>67</v>
      </c>
      <c r="I96" s="35" t="s">
        <v>67</v>
      </c>
      <c r="L96" s="68" t="str">
        <f>IFERROR(H96-'Nátok z PRDS'!H96,"N/A")</f>
        <v>N/A</v>
      </c>
      <c r="M96" s="68">
        <f>IFERROR(H96-'Distribúcia KS v PMDS'!H96,0)</f>
        <v>0</v>
      </c>
    </row>
    <row r="97" spans="1:13" x14ac:dyDescent="0.25">
      <c r="A97" s="199"/>
      <c r="B97" s="200"/>
      <c r="C97" s="81" t="s">
        <v>164</v>
      </c>
      <c r="D97" s="222"/>
      <c r="E97" s="201"/>
      <c r="F97" s="39"/>
      <c r="G97" s="39"/>
      <c r="H97" s="35" t="s">
        <v>67</v>
      </c>
      <c r="I97" s="35" t="s">
        <v>67</v>
      </c>
      <c r="L97" s="68" t="str">
        <f>IFERROR(H97-'Nátok z PRDS'!H97,"N/A")</f>
        <v>N/A</v>
      </c>
      <c r="M97" s="68">
        <f>IFERROR(H97-'Distribúcia KS v PMDS'!H97,0)</f>
        <v>0</v>
      </c>
    </row>
    <row r="98" spans="1:13" x14ac:dyDescent="0.25">
      <c r="A98" s="199"/>
      <c r="B98" s="200"/>
      <c r="C98" s="81" t="s">
        <v>182</v>
      </c>
      <c r="D98" s="223"/>
      <c r="E98" s="201"/>
      <c r="F98" s="35">
        <f>+F96+F97</f>
        <v>0</v>
      </c>
      <c r="G98" s="35">
        <f t="shared" ref="G98" si="31">+G96+G97</f>
        <v>0</v>
      </c>
      <c r="H98" s="35">
        <f>+G98-F98</f>
        <v>0</v>
      </c>
      <c r="I98" s="50">
        <f>+ROUND(IF(H98&gt;0,H98*E96,0),4)</f>
        <v>0</v>
      </c>
      <c r="L98" s="68">
        <f>IFERROR(H98-'Nátok z PRDS'!H98,"N/A")</f>
        <v>0</v>
      </c>
      <c r="M98" s="68">
        <f>IFERROR(H98-'Distribúcia KS v PMDS'!H98,0)</f>
        <v>0</v>
      </c>
    </row>
    <row r="99" spans="1:13" x14ac:dyDescent="0.25">
      <c r="A99" s="199"/>
      <c r="B99" s="200"/>
      <c r="C99" s="81" t="s">
        <v>180</v>
      </c>
      <c r="D99" s="221" t="s">
        <v>249</v>
      </c>
      <c r="E99" s="201">
        <v>0</v>
      </c>
      <c r="F99" s="39"/>
      <c r="G99" s="39"/>
      <c r="H99" s="35" t="s">
        <v>67</v>
      </c>
      <c r="I99" s="35" t="s">
        <v>67</v>
      </c>
      <c r="L99" s="68" t="str">
        <f>IFERROR(H99-'Nátok z PRDS'!H99,"N/A")</f>
        <v>N/A</v>
      </c>
      <c r="M99" s="68">
        <f>IFERROR(H99-'Distribúcia KS v PMDS'!H99,0)</f>
        <v>0</v>
      </c>
    </row>
    <row r="100" spans="1:13" x14ac:dyDescent="0.25">
      <c r="A100" s="199"/>
      <c r="B100" s="200"/>
      <c r="C100" s="81" t="s">
        <v>164</v>
      </c>
      <c r="D100" s="222"/>
      <c r="E100" s="201"/>
      <c r="F100" s="39"/>
      <c r="G100" s="39"/>
      <c r="H100" s="35" t="s">
        <v>67</v>
      </c>
      <c r="I100" s="35" t="s">
        <v>67</v>
      </c>
      <c r="L100" s="68" t="str">
        <f>IFERROR(H100-'Nátok z PRDS'!H100,"N/A")</f>
        <v>N/A</v>
      </c>
      <c r="M100" s="68">
        <f>IFERROR(H100-'Distribúcia KS v PMDS'!H100,0)</f>
        <v>0</v>
      </c>
    </row>
    <row r="101" spans="1:13" x14ac:dyDescent="0.25">
      <c r="A101" s="199"/>
      <c r="B101" s="200"/>
      <c r="C101" s="81" t="s">
        <v>181</v>
      </c>
      <c r="D101" s="223"/>
      <c r="E101" s="201"/>
      <c r="F101" s="35">
        <f>+F99+F100</f>
        <v>0</v>
      </c>
      <c r="G101" s="35">
        <f t="shared" ref="G101" si="32">+G99+G100</f>
        <v>0</v>
      </c>
      <c r="H101" s="35">
        <f>+G101-F101</f>
        <v>0</v>
      </c>
      <c r="I101" s="50">
        <f>+ROUND(IF(H101&gt;0,H101*E99,0),4)</f>
        <v>0</v>
      </c>
      <c r="L101" s="68">
        <f>IFERROR(H101-'Nátok z PRDS'!H101,"N/A")</f>
        <v>0</v>
      </c>
      <c r="M101" s="68">
        <f>IFERROR(H101-'Distribúcia KS v PMDS'!H101,0)</f>
        <v>0</v>
      </c>
    </row>
    <row r="102" spans="1:13" x14ac:dyDescent="0.25">
      <c r="A102" s="199" t="s">
        <v>64</v>
      </c>
      <c r="B102" s="200" t="s">
        <v>194</v>
      </c>
      <c r="C102" s="81" t="s">
        <v>230</v>
      </c>
      <c r="D102" s="128" t="s">
        <v>165</v>
      </c>
      <c r="E102" s="61"/>
      <c r="F102" s="39"/>
      <c r="G102" s="39"/>
      <c r="H102" s="35">
        <f>+G102-F102</f>
        <v>0</v>
      </c>
      <c r="I102" s="50">
        <f t="shared" ref="I102" si="33">+ROUND(IF(H102&gt;0,H102*E102,0),4)</f>
        <v>0</v>
      </c>
      <c r="L102" s="68">
        <f>IFERROR(H102-'Nátok z PRDS'!H102,"N/A")</f>
        <v>0</v>
      </c>
      <c r="M102" s="68">
        <f>IFERROR(H102-'Distribúcia KS v PMDS'!H102,0)</f>
        <v>0</v>
      </c>
    </row>
    <row r="103" spans="1:13" x14ac:dyDescent="0.25">
      <c r="A103" s="199"/>
      <c r="B103" s="200"/>
      <c r="C103" s="81" t="s">
        <v>231</v>
      </c>
      <c r="D103" s="128" t="s">
        <v>166</v>
      </c>
      <c r="E103" s="61"/>
      <c r="F103" s="39"/>
      <c r="G103" s="39"/>
      <c r="H103" s="35">
        <f>+G103-F103</f>
        <v>0</v>
      </c>
      <c r="I103" s="50">
        <f>+ROUND(IF(H103&gt;0,H103*E103,0),4)</f>
        <v>0</v>
      </c>
      <c r="L103" s="68">
        <f>IFERROR(H103-'Nátok z PRDS'!H103,"N/A")</f>
        <v>0</v>
      </c>
      <c r="M103" s="68">
        <f>IFERROR(H103-'Distribúcia KS v PMDS'!H103,0)</f>
        <v>0</v>
      </c>
    </row>
    <row r="104" spans="1:13" x14ac:dyDescent="0.25">
      <c r="A104" s="199"/>
      <c r="B104" s="200"/>
      <c r="C104" s="81" t="s">
        <v>179</v>
      </c>
      <c r="D104" s="221" t="s">
        <v>249</v>
      </c>
      <c r="E104" s="201">
        <v>0</v>
      </c>
      <c r="F104" s="39"/>
      <c r="G104" s="39"/>
      <c r="H104" s="35" t="s">
        <v>67</v>
      </c>
      <c r="I104" s="35" t="s">
        <v>67</v>
      </c>
      <c r="L104" s="68" t="str">
        <f>IFERROR(H104-'Nátok z PRDS'!H104,"N/A")</f>
        <v>N/A</v>
      </c>
      <c r="M104" s="68">
        <f>IFERROR(H104-'Distribúcia KS v PMDS'!H104,0)</f>
        <v>0</v>
      </c>
    </row>
    <row r="105" spans="1:13" x14ac:dyDescent="0.25">
      <c r="A105" s="199"/>
      <c r="B105" s="200"/>
      <c r="C105" s="81" t="s">
        <v>164</v>
      </c>
      <c r="D105" s="222"/>
      <c r="E105" s="201"/>
      <c r="F105" s="39"/>
      <c r="G105" s="39"/>
      <c r="H105" s="35" t="s">
        <v>67</v>
      </c>
      <c r="I105" s="35" t="s">
        <v>67</v>
      </c>
      <c r="L105" s="68" t="str">
        <f>IFERROR(H105-'Nátok z PRDS'!H105,"N/A")</f>
        <v>N/A</v>
      </c>
      <c r="M105" s="68">
        <f>IFERROR(H105-'Distribúcia KS v PMDS'!H105,0)</f>
        <v>0</v>
      </c>
    </row>
    <row r="106" spans="1:13" x14ac:dyDescent="0.25">
      <c r="A106" s="199"/>
      <c r="B106" s="200"/>
      <c r="C106" s="81" t="s">
        <v>182</v>
      </c>
      <c r="D106" s="223"/>
      <c r="E106" s="201"/>
      <c r="F106" s="35">
        <f>+F104+F105</f>
        <v>0</v>
      </c>
      <c r="G106" s="35">
        <f t="shared" ref="G106" si="34">+G104+G105</f>
        <v>0</v>
      </c>
      <c r="H106" s="35">
        <f>+G106-F106</f>
        <v>0</v>
      </c>
      <c r="I106" s="50">
        <f>+ROUND(IF(H106&gt;0,H106*E104,0),4)</f>
        <v>0</v>
      </c>
      <c r="L106" s="68">
        <f>IFERROR(H106-'Nátok z PRDS'!H106,"N/A")</f>
        <v>0</v>
      </c>
      <c r="M106" s="68">
        <f>IFERROR(H106-'Distribúcia KS v PMDS'!H106,0)</f>
        <v>0</v>
      </c>
    </row>
    <row r="107" spans="1:13" x14ac:dyDescent="0.25">
      <c r="A107" s="199"/>
      <c r="B107" s="200"/>
      <c r="C107" s="81" t="s">
        <v>180</v>
      </c>
      <c r="D107" s="221" t="s">
        <v>249</v>
      </c>
      <c r="E107" s="201">
        <v>0</v>
      </c>
      <c r="F107" s="39"/>
      <c r="G107" s="39"/>
      <c r="H107" s="35" t="s">
        <v>67</v>
      </c>
      <c r="I107" s="35" t="s">
        <v>67</v>
      </c>
      <c r="L107" s="68" t="str">
        <f>IFERROR(H107-'Nátok z PRDS'!H107,"N/A")</f>
        <v>N/A</v>
      </c>
      <c r="M107" s="68">
        <f>IFERROR(H107-'Distribúcia KS v PMDS'!H107,0)</f>
        <v>0</v>
      </c>
    </row>
    <row r="108" spans="1:13" x14ac:dyDescent="0.25">
      <c r="A108" s="199"/>
      <c r="B108" s="200"/>
      <c r="C108" s="81" t="s">
        <v>164</v>
      </c>
      <c r="D108" s="222"/>
      <c r="E108" s="201"/>
      <c r="F108" s="39"/>
      <c r="G108" s="39"/>
      <c r="H108" s="35" t="s">
        <v>67</v>
      </c>
      <c r="I108" s="35" t="s">
        <v>67</v>
      </c>
      <c r="L108" s="68" t="str">
        <f>IFERROR(H108-'Nátok z PRDS'!H108,"N/A")</f>
        <v>N/A</v>
      </c>
      <c r="M108" s="68">
        <f>IFERROR(H108-'Distribúcia KS v PMDS'!H108,0)</f>
        <v>0</v>
      </c>
    </row>
    <row r="109" spans="1:13" x14ac:dyDescent="0.25">
      <c r="A109" s="199"/>
      <c r="B109" s="200"/>
      <c r="C109" s="81" t="s">
        <v>181</v>
      </c>
      <c r="D109" s="223"/>
      <c r="E109" s="201"/>
      <c r="F109" s="35">
        <f>+F107+F108</f>
        <v>0</v>
      </c>
      <c r="G109" s="35">
        <f t="shared" ref="G109" si="35">+G107+G108</f>
        <v>0</v>
      </c>
      <c r="H109" s="35">
        <f>+G109-F109</f>
        <v>0</v>
      </c>
      <c r="I109" s="50">
        <f>+ROUND(IF(H109&gt;0,H109*E107,0),4)</f>
        <v>0</v>
      </c>
      <c r="L109" s="68">
        <f>IFERROR(H109-'Nátok z PRDS'!H109,"N/A")</f>
        <v>0</v>
      </c>
      <c r="M109" s="68">
        <f>IFERROR(H109-'Distribúcia KS v PMDS'!H109,0)</f>
        <v>0</v>
      </c>
    </row>
    <row r="110" spans="1:13" x14ac:dyDescent="0.25">
      <c r="A110" s="199" t="s">
        <v>64</v>
      </c>
      <c r="B110" s="200" t="s">
        <v>193</v>
      </c>
      <c r="C110" s="81" t="s">
        <v>230</v>
      </c>
      <c r="D110" s="128" t="s">
        <v>165</v>
      </c>
      <c r="E110" s="61"/>
      <c r="F110" s="39"/>
      <c r="G110" s="39"/>
      <c r="H110" s="35">
        <f>+G110-F110</f>
        <v>0</v>
      </c>
      <c r="I110" s="50">
        <f>+ROUND(IF(H110&gt;0,H110*E110,0),4)</f>
        <v>0</v>
      </c>
      <c r="L110" s="68">
        <f>IFERROR(H110-'Nátok z PRDS'!H110,"N/A")</f>
        <v>0</v>
      </c>
      <c r="M110" s="68">
        <f>IFERROR(H110-'Distribúcia KS v PMDS'!H110,0)</f>
        <v>0</v>
      </c>
    </row>
    <row r="111" spans="1:13" x14ac:dyDescent="0.25">
      <c r="A111" s="199"/>
      <c r="B111" s="200"/>
      <c r="C111" s="81" t="s">
        <v>231</v>
      </c>
      <c r="D111" s="128" t="s">
        <v>166</v>
      </c>
      <c r="E111" s="61"/>
      <c r="F111" s="39"/>
      <c r="G111" s="39"/>
      <c r="H111" s="35">
        <f>+G111-F111</f>
        <v>0</v>
      </c>
      <c r="I111" s="50">
        <f>+ROUND(IF(H111&gt;0,H111*E111,0),4)</f>
        <v>0</v>
      </c>
      <c r="L111" s="68">
        <f>IFERROR(H111-'Nátok z PRDS'!H111,"N/A")</f>
        <v>0</v>
      </c>
      <c r="M111" s="68">
        <f>IFERROR(H111-'Distribúcia KS v PMDS'!H111,0)</f>
        <v>0</v>
      </c>
    </row>
    <row r="112" spans="1:13" x14ac:dyDescent="0.25">
      <c r="A112" s="199"/>
      <c r="B112" s="200"/>
      <c r="C112" s="81" t="s">
        <v>179</v>
      </c>
      <c r="D112" s="221" t="s">
        <v>249</v>
      </c>
      <c r="E112" s="201">
        <v>0</v>
      </c>
      <c r="F112" s="39"/>
      <c r="G112" s="39"/>
      <c r="H112" s="35" t="s">
        <v>67</v>
      </c>
      <c r="I112" s="35" t="s">
        <v>67</v>
      </c>
      <c r="L112" s="68" t="str">
        <f>IFERROR(H112-'Nátok z PRDS'!H112,"N/A")</f>
        <v>N/A</v>
      </c>
      <c r="M112" s="68">
        <f>IFERROR(H112-'Distribúcia KS v PMDS'!H112,0)</f>
        <v>0</v>
      </c>
    </row>
    <row r="113" spans="1:13" x14ac:dyDescent="0.25">
      <c r="A113" s="199"/>
      <c r="B113" s="200"/>
      <c r="C113" s="81" t="s">
        <v>164</v>
      </c>
      <c r="D113" s="222"/>
      <c r="E113" s="201"/>
      <c r="F113" s="39"/>
      <c r="G113" s="39"/>
      <c r="H113" s="35" t="s">
        <v>67</v>
      </c>
      <c r="I113" s="35" t="s">
        <v>67</v>
      </c>
      <c r="L113" s="68" t="str">
        <f>IFERROR(H113-'Nátok z PRDS'!H113,"N/A")</f>
        <v>N/A</v>
      </c>
      <c r="M113" s="68">
        <f>IFERROR(H113-'Distribúcia KS v PMDS'!H113,0)</f>
        <v>0</v>
      </c>
    </row>
    <row r="114" spans="1:13" x14ac:dyDescent="0.25">
      <c r="A114" s="199"/>
      <c r="B114" s="200"/>
      <c r="C114" s="81" t="s">
        <v>182</v>
      </c>
      <c r="D114" s="223"/>
      <c r="E114" s="201"/>
      <c r="F114" s="35">
        <f>+F112+F113</f>
        <v>0</v>
      </c>
      <c r="G114" s="35">
        <f t="shared" ref="G114" si="36">+G112+G113</f>
        <v>0</v>
      </c>
      <c r="H114" s="35">
        <f>+G114-F114</f>
        <v>0</v>
      </c>
      <c r="I114" s="50">
        <f>+ROUND(IF(H114&gt;0,H114*E112,0),4)</f>
        <v>0</v>
      </c>
      <c r="L114" s="68">
        <f>IFERROR(H114-'Nátok z PRDS'!H114,"N/A")</f>
        <v>0</v>
      </c>
      <c r="M114" s="68">
        <f>IFERROR(H114-'Distribúcia KS v PMDS'!H114,0)</f>
        <v>0</v>
      </c>
    </row>
    <row r="115" spans="1:13" x14ac:dyDescent="0.25">
      <c r="A115" s="199"/>
      <c r="B115" s="200"/>
      <c r="C115" s="81" t="s">
        <v>180</v>
      </c>
      <c r="D115" s="221" t="s">
        <v>249</v>
      </c>
      <c r="E115" s="201">
        <v>0</v>
      </c>
      <c r="F115" s="39"/>
      <c r="G115" s="39"/>
      <c r="H115" s="35" t="s">
        <v>67</v>
      </c>
      <c r="I115" s="35" t="s">
        <v>67</v>
      </c>
      <c r="L115" s="68" t="str">
        <f>IFERROR(H115-'Nátok z PRDS'!H115,"N/A")</f>
        <v>N/A</v>
      </c>
      <c r="M115" s="68">
        <f>IFERROR(H115-'Distribúcia KS v PMDS'!H115,0)</f>
        <v>0</v>
      </c>
    </row>
    <row r="116" spans="1:13" x14ac:dyDescent="0.25">
      <c r="A116" s="199"/>
      <c r="B116" s="200"/>
      <c r="C116" s="81" t="s">
        <v>164</v>
      </c>
      <c r="D116" s="222"/>
      <c r="E116" s="201"/>
      <c r="F116" s="39"/>
      <c r="G116" s="39"/>
      <c r="H116" s="35" t="s">
        <v>67</v>
      </c>
      <c r="I116" s="35" t="s">
        <v>67</v>
      </c>
      <c r="L116" s="68" t="str">
        <f>IFERROR(H116-'Nátok z PRDS'!H116,"N/A")</f>
        <v>N/A</v>
      </c>
      <c r="M116" s="68">
        <f>IFERROR(H116-'Distribúcia KS v PMDS'!H116,0)</f>
        <v>0</v>
      </c>
    </row>
    <row r="117" spans="1:13" x14ac:dyDescent="0.25">
      <c r="A117" s="199"/>
      <c r="B117" s="200"/>
      <c r="C117" s="81" t="s">
        <v>181</v>
      </c>
      <c r="D117" s="223"/>
      <c r="E117" s="201"/>
      <c r="F117" s="35">
        <f>+F115+F116</f>
        <v>0</v>
      </c>
      <c r="G117" s="35">
        <f t="shared" ref="G117" si="37">+G115+G116</f>
        <v>0</v>
      </c>
      <c r="H117" s="35">
        <f>+G117-F117</f>
        <v>0</v>
      </c>
      <c r="I117" s="50">
        <f>+ROUND(IF(H117&gt;0,H117*E115,0),4)</f>
        <v>0</v>
      </c>
      <c r="L117" s="68">
        <f>IFERROR(H117-'Nátok z PRDS'!H117,"N/A")</f>
        <v>0</v>
      </c>
      <c r="M117" s="68">
        <f>IFERROR(H117-'Distribúcia KS v PMDS'!H117,0)</f>
        <v>0</v>
      </c>
    </row>
    <row r="118" spans="1:13" x14ac:dyDescent="0.25">
      <c r="A118" s="199" t="s">
        <v>64</v>
      </c>
      <c r="B118" s="200" t="s">
        <v>192</v>
      </c>
      <c r="C118" s="81" t="s">
        <v>230</v>
      </c>
      <c r="D118" s="128" t="s">
        <v>165</v>
      </c>
      <c r="E118" s="61"/>
      <c r="F118" s="39"/>
      <c r="G118" s="39"/>
      <c r="H118" s="35">
        <f>+G118-F118</f>
        <v>0</v>
      </c>
      <c r="I118" s="50">
        <f>+ROUND(IF(H118&gt;0,H118*E118,0),4)</f>
        <v>0</v>
      </c>
      <c r="L118" s="68">
        <f>IFERROR(H118-'Nátok z PRDS'!H118,"N/A")</f>
        <v>0</v>
      </c>
      <c r="M118" s="68">
        <f>IFERROR(H118-'Distribúcia KS v PMDS'!H118,0)</f>
        <v>0</v>
      </c>
    </row>
    <row r="119" spans="1:13" x14ac:dyDescent="0.25">
      <c r="A119" s="199"/>
      <c r="B119" s="200"/>
      <c r="C119" s="81" t="s">
        <v>231</v>
      </c>
      <c r="D119" s="128" t="s">
        <v>166</v>
      </c>
      <c r="E119" s="61"/>
      <c r="F119" s="39"/>
      <c r="G119" s="39"/>
      <c r="H119" s="35">
        <f>+G119-F119</f>
        <v>0</v>
      </c>
      <c r="I119" s="50">
        <f>+ROUND(IF(H119&gt;0,H119*E119,0),4)</f>
        <v>0</v>
      </c>
      <c r="L119" s="68">
        <f>IFERROR(H119-'Nátok z PRDS'!H119,"N/A")</f>
        <v>0</v>
      </c>
      <c r="M119" s="68">
        <f>IFERROR(H119-'Distribúcia KS v PMDS'!H119,0)</f>
        <v>0</v>
      </c>
    </row>
    <row r="120" spans="1:13" x14ac:dyDescent="0.25">
      <c r="A120" s="199"/>
      <c r="B120" s="200"/>
      <c r="C120" s="81" t="s">
        <v>179</v>
      </c>
      <c r="D120" s="221" t="s">
        <v>249</v>
      </c>
      <c r="E120" s="201">
        <v>0</v>
      </c>
      <c r="F120" s="39"/>
      <c r="G120" s="39"/>
      <c r="H120" s="35" t="s">
        <v>67</v>
      </c>
      <c r="I120" s="35" t="s">
        <v>67</v>
      </c>
      <c r="L120" s="68" t="str">
        <f>IFERROR(H120-'Nátok z PRDS'!H120,"N/A")</f>
        <v>N/A</v>
      </c>
      <c r="M120" s="68">
        <f>IFERROR(H120-'Distribúcia KS v PMDS'!H120,0)</f>
        <v>0</v>
      </c>
    </row>
    <row r="121" spans="1:13" x14ac:dyDescent="0.25">
      <c r="A121" s="199"/>
      <c r="B121" s="200"/>
      <c r="C121" s="81" t="s">
        <v>164</v>
      </c>
      <c r="D121" s="222"/>
      <c r="E121" s="201"/>
      <c r="F121" s="39"/>
      <c r="G121" s="39"/>
      <c r="H121" s="35" t="s">
        <v>67</v>
      </c>
      <c r="I121" s="35" t="s">
        <v>67</v>
      </c>
      <c r="L121" s="68" t="str">
        <f>IFERROR(H121-'Nátok z PRDS'!H121,"N/A")</f>
        <v>N/A</v>
      </c>
      <c r="M121" s="68">
        <f>IFERROR(H121-'Distribúcia KS v PMDS'!H121,0)</f>
        <v>0</v>
      </c>
    </row>
    <row r="122" spans="1:13" x14ac:dyDescent="0.25">
      <c r="A122" s="199"/>
      <c r="B122" s="200"/>
      <c r="C122" s="81" t="s">
        <v>182</v>
      </c>
      <c r="D122" s="223"/>
      <c r="E122" s="201"/>
      <c r="F122" s="35">
        <f>+F120+F121</f>
        <v>0</v>
      </c>
      <c r="G122" s="35">
        <f t="shared" ref="G122" si="38">+G120+G121</f>
        <v>0</v>
      </c>
      <c r="H122" s="35">
        <f>+G122-F122</f>
        <v>0</v>
      </c>
      <c r="I122" s="50">
        <f>+ROUND(IF(H122&gt;0,H122*E120,0),4)</f>
        <v>0</v>
      </c>
      <c r="L122" s="68">
        <f>IFERROR(H122-'Nátok z PRDS'!H122,"N/A")</f>
        <v>0</v>
      </c>
      <c r="M122" s="68">
        <f>IFERROR(H122-'Distribúcia KS v PMDS'!H122,0)</f>
        <v>0</v>
      </c>
    </row>
    <row r="123" spans="1:13" x14ac:dyDescent="0.25">
      <c r="A123" s="199"/>
      <c r="B123" s="200"/>
      <c r="C123" s="81" t="s">
        <v>180</v>
      </c>
      <c r="D123" s="221" t="s">
        <v>249</v>
      </c>
      <c r="E123" s="201">
        <v>0</v>
      </c>
      <c r="F123" s="39"/>
      <c r="G123" s="39"/>
      <c r="H123" s="35" t="s">
        <v>67</v>
      </c>
      <c r="I123" s="35" t="s">
        <v>67</v>
      </c>
      <c r="L123" s="68" t="str">
        <f>IFERROR(H123-'Nátok z PRDS'!H123,"N/A")</f>
        <v>N/A</v>
      </c>
      <c r="M123" s="68">
        <f>IFERROR(H123-'Distribúcia KS v PMDS'!H123,0)</f>
        <v>0</v>
      </c>
    </row>
    <row r="124" spans="1:13" x14ac:dyDescent="0.25">
      <c r="A124" s="199"/>
      <c r="B124" s="200"/>
      <c r="C124" s="81" t="s">
        <v>164</v>
      </c>
      <c r="D124" s="222"/>
      <c r="E124" s="201"/>
      <c r="F124" s="39"/>
      <c r="G124" s="39"/>
      <c r="H124" s="35" t="s">
        <v>67</v>
      </c>
      <c r="I124" s="35" t="s">
        <v>67</v>
      </c>
      <c r="L124" s="68" t="str">
        <f>IFERROR(H124-'Nátok z PRDS'!H124,"N/A")</f>
        <v>N/A</v>
      </c>
      <c r="M124" s="68">
        <f>IFERROR(H124-'Distribúcia KS v PMDS'!H124,0)</f>
        <v>0</v>
      </c>
    </row>
    <row r="125" spans="1:13" x14ac:dyDescent="0.25">
      <c r="A125" s="199"/>
      <c r="B125" s="200"/>
      <c r="C125" s="81" t="s">
        <v>181</v>
      </c>
      <c r="D125" s="223"/>
      <c r="E125" s="201"/>
      <c r="F125" s="35">
        <f>+F123+F124</f>
        <v>0</v>
      </c>
      <c r="G125" s="35">
        <f t="shared" ref="G125" si="39">+G123+G124</f>
        <v>0</v>
      </c>
      <c r="H125" s="35">
        <f>+G125-F125</f>
        <v>0</v>
      </c>
      <c r="I125" s="50">
        <f>+ROUND(IF(H125&gt;0,H125*E123,0),4)</f>
        <v>0</v>
      </c>
      <c r="L125" s="68">
        <f>IFERROR(H125-'Nátok z PRDS'!H125,"N/A")</f>
        <v>0</v>
      </c>
      <c r="M125" s="68">
        <f>IFERROR(H125-'Distribúcia KS v PMDS'!H125,0)</f>
        <v>0</v>
      </c>
    </row>
    <row r="126" spans="1:13" x14ac:dyDescent="0.25">
      <c r="A126" s="199" t="s">
        <v>64</v>
      </c>
      <c r="B126" s="200" t="s">
        <v>191</v>
      </c>
      <c r="C126" s="81" t="s">
        <v>230</v>
      </c>
      <c r="D126" s="128" t="s">
        <v>165</v>
      </c>
      <c r="E126" s="61"/>
      <c r="F126" s="39"/>
      <c r="G126" s="39"/>
      <c r="H126" s="35">
        <f>+G126-F126</f>
        <v>0</v>
      </c>
      <c r="I126" s="50">
        <f>+ROUND(IF(H126&gt;0,H126*E126,0),4)</f>
        <v>0</v>
      </c>
      <c r="L126" s="68">
        <f>IFERROR(H126-'Nátok z PRDS'!H126,"N/A")</f>
        <v>0</v>
      </c>
      <c r="M126" s="68">
        <f>IFERROR(H126-'Distribúcia KS v PMDS'!H126,0)</f>
        <v>0</v>
      </c>
    </row>
    <row r="127" spans="1:13" x14ac:dyDescent="0.25">
      <c r="A127" s="199"/>
      <c r="B127" s="200"/>
      <c r="C127" s="81" t="s">
        <v>231</v>
      </c>
      <c r="D127" s="128" t="s">
        <v>166</v>
      </c>
      <c r="E127" s="61"/>
      <c r="F127" s="39"/>
      <c r="G127" s="39"/>
      <c r="H127" s="35">
        <f>+G127-F127</f>
        <v>0</v>
      </c>
      <c r="I127" s="50">
        <f>+ROUND(IF(H127&gt;0,H127*E127,0),4)</f>
        <v>0</v>
      </c>
      <c r="L127" s="68">
        <f>IFERROR(H127-'Nátok z PRDS'!H127,"N/A")</f>
        <v>0</v>
      </c>
      <c r="M127" s="68">
        <f>IFERROR(H127-'Distribúcia KS v PMDS'!H127,0)</f>
        <v>0</v>
      </c>
    </row>
    <row r="128" spans="1:13" x14ac:dyDescent="0.25">
      <c r="A128" s="199"/>
      <c r="B128" s="200"/>
      <c r="C128" s="81" t="s">
        <v>179</v>
      </c>
      <c r="D128" s="221" t="s">
        <v>249</v>
      </c>
      <c r="E128" s="201">
        <v>0</v>
      </c>
      <c r="F128" s="39"/>
      <c r="G128" s="39"/>
      <c r="H128" s="35" t="s">
        <v>67</v>
      </c>
      <c r="I128" s="35" t="s">
        <v>67</v>
      </c>
      <c r="L128" s="68" t="str">
        <f>IFERROR(H128-'Nátok z PRDS'!H128,"N/A")</f>
        <v>N/A</v>
      </c>
      <c r="M128" s="68">
        <f>IFERROR(H128-'Distribúcia KS v PMDS'!H128,0)</f>
        <v>0</v>
      </c>
    </row>
    <row r="129" spans="1:13" x14ac:dyDescent="0.25">
      <c r="A129" s="199"/>
      <c r="B129" s="200"/>
      <c r="C129" s="81" t="s">
        <v>164</v>
      </c>
      <c r="D129" s="222"/>
      <c r="E129" s="201"/>
      <c r="F129" s="39"/>
      <c r="G129" s="39"/>
      <c r="H129" s="35" t="s">
        <v>67</v>
      </c>
      <c r="I129" s="35" t="s">
        <v>67</v>
      </c>
      <c r="L129" s="68" t="str">
        <f>IFERROR(H129-'Nátok z PRDS'!H129,"N/A")</f>
        <v>N/A</v>
      </c>
      <c r="M129" s="68">
        <f>IFERROR(H129-'Distribúcia KS v PMDS'!H129,0)</f>
        <v>0</v>
      </c>
    </row>
    <row r="130" spans="1:13" x14ac:dyDescent="0.25">
      <c r="A130" s="199"/>
      <c r="B130" s="200"/>
      <c r="C130" s="81" t="s">
        <v>182</v>
      </c>
      <c r="D130" s="223"/>
      <c r="E130" s="201"/>
      <c r="F130" s="35">
        <f>+F128+F129</f>
        <v>0</v>
      </c>
      <c r="G130" s="35">
        <f t="shared" ref="G130" si="40">+G128+G129</f>
        <v>0</v>
      </c>
      <c r="H130" s="35">
        <f>+G130-F130</f>
        <v>0</v>
      </c>
      <c r="I130" s="50">
        <f>+ROUND(IF(H130&gt;0,H130*E128,0),4)</f>
        <v>0</v>
      </c>
      <c r="L130" s="68">
        <f>IFERROR(H130-'Nátok z PRDS'!H130,"N/A")</f>
        <v>0</v>
      </c>
      <c r="M130" s="68">
        <f>IFERROR(H130-'Distribúcia KS v PMDS'!H130,0)</f>
        <v>0</v>
      </c>
    </row>
    <row r="131" spans="1:13" x14ac:dyDescent="0.25">
      <c r="A131" s="199"/>
      <c r="B131" s="200"/>
      <c r="C131" s="81" t="s">
        <v>180</v>
      </c>
      <c r="D131" s="221" t="s">
        <v>249</v>
      </c>
      <c r="E131" s="201">
        <v>0</v>
      </c>
      <c r="F131" s="39"/>
      <c r="G131" s="39"/>
      <c r="H131" s="35" t="s">
        <v>67</v>
      </c>
      <c r="I131" s="35" t="s">
        <v>67</v>
      </c>
      <c r="L131" s="68" t="str">
        <f>IFERROR(H131-'Nátok z PRDS'!H131,"N/A")</f>
        <v>N/A</v>
      </c>
      <c r="M131" s="68">
        <f>IFERROR(H131-'Distribúcia KS v PMDS'!H131,0)</f>
        <v>0</v>
      </c>
    </row>
    <row r="132" spans="1:13" x14ac:dyDescent="0.25">
      <c r="A132" s="199"/>
      <c r="B132" s="200"/>
      <c r="C132" s="81" t="s">
        <v>164</v>
      </c>
      <c r="D132" s="222"/>
      <c r="E132" s="201"/>
      <c r="F132" s="39"/>
      <c r="G132" s="39"/>
      <c r="H132" s="35" t="s">
        <v>67</v>
      </c>
      <c r="I132" s="35" t="s">
        <v>67</v>
      </c>
      <c r="L132" s="68" t="str">
        <f>IFERROR(H132-'Nátok z PRDS'!H132,"N/A")</f>
        <v>N/A</v>
      </c>
      <c r="M132" s="68">
        <f>IFERROR(H132-'Distribúcia KS v PMDS'!H132,0)</f>
        <v>0</v>
      </c>
    </row>
    <row r="133" spans="1:13" x14ac:dyDescent="0.25">
      <c r="A133" s="199"/>
      <c r="B133" s="200"/>
      <c r="C133" s="81" t="s">
        <v>181</v>
      </c>
      <c r="D133" s="223"/>
      <c r="E133" s="201"/>
      <c r="F133" s="35">
        <f>+F131+F132</f>
        <v>0</v>
      </c>
      <c r="G133" s="35">
        <f t="shared" ref="G133" si="41">+G131+G132</f>
        <v>0</v>
      </c>
      <c r="H133" s="35">
        <f>+G133-F133</f>
        <v>0</v>
      </c>
      <c r="I133" s="50">
        <f>+ROUND(IF(H133&gt;0,H133*E131,0),4)</f>
        <v>0</v>
      </c>
      <c r="L133" s="68">
        <f>IFERROR(H133-'Nátok z PRDS'!H133,"N/A")</f>
        <v>0</v>
      </c>
      <c r="M133" s="68">
        <f>IFERROR(H133-'Distribúcia KS v PMDS'!H133,0)</f>
        <v>0</v>
      </c>
    </row>
    <row r="134" spans="1:13" x14ac:dyDescent="0.25">
      <c r="A134" s="208" t="s">
        <v>64</v>
      </c>
      <c r="B134" s="211" t="s">
        <v>190</v>
      </c>
      <c r="C134" s="82" t="s">
        <v>162</v>
      </c>
      <c r="D134" s="129" t="s">
        <v>236</v>
      </c>
      <c r="E134" s="62"/>
      <c r="F134" s="46">
        <v>1.3277000000000001</v>
      </c>
      <c r="G134" s="46">
        <v>1.3277000000000001</v>
      </c>
      <c r="H134" s="36">
        <f>+G134-F134</f>
        <v>0</v>
      </c>
      <c r="I134" s="50">
        <f>+ROUND(IF(H134&gt;0,H134*E134,0),4)</f>
        <v>0</v>
      </c>
      <c r="L134" s="68">
        <f>IFERROR(H134-'Nátok z PRDS'!H134,"N/A")</f>
        <v>0</v>
      </c>
      <c r="M134" s="68">
        <f>IFERROR(H134-'Distribúcia KS v PMDS'!H134,0)</f>
        <v>0</v>
      </c>
    </row>
    <row r="135" spans="1:13" x14ac:dyDescent="0.25">
      <c r="A135" s="208" t="s">
        <v>65</v>
      </c>
      <c r="B135" s="211"/>
      <c r="C135" s="82" t="s">
        <v>162</v>
      </c>
      <c r="D135" s="129" t="s">
        <v>238</v>
      </c>
      <c r="E135" s="62"/>
      <c r="F135" s="46"/>
      <c r="G135" s="46"/>
      <c r="H135" s="36">
        <f t="shared" ref="H135" si="42">+G135-F135</f>
        <v>0</v>
      </c>
      <c r="I135" s="50">
        <f t="shared" ref="I135:I137" si="43">+ROUND(IF(H135&gt;0,H135*E135,0),4)</f>
        <v>0</v>
      </c>
      <c r="L135" s="68">
        <f>IFERROR(H135-'Nátok z PRDS'!H135,"N/A")</f>
        <v>0</v>
      </c>
      <c r="M135" s="68">
        <f>IFERROR(H135-'Distribúcia KS v PMDS'!H135,0)</f>
        <v>0</v>
      </c>
    </row>
    <row r="136" spans="1:13" x14ac:dyDescent="0.25">
      <c r="A136" s="199" t="s">
        <v>64</v>
      </c>
      <c r="B136" s="200" t="s">
        <v>189</v>
      </c>
      <c r="C136" s="81" t="s">
        <v>230</v>
      </c>
      <c r="D136" s="128" t="s">
        <v>165</v>
      </c>
      <c r="E136" s="61"/>
      <c r="F136" s="39"/>
      <c r="G136" s="39"/>
      <c r="H136" s="35">
        <f>+G136-F136</f>
        <v>0</v>
      </c>
      <c r="I136" s="50">
        <f t="shared" si="43"/>
        <v>0</v>
      </c>
      <c r="L136" s="68">
        <f>IFERROR(H136-'Nátok z PRDS'!H136,"N/A")</f>
        <v>0</v>
      </c>
      <c r="M136" s="68">
        <f>IFERROR(H136-'Distribúcia KS v PMDS'!H136,0)</f>
        <v>0</v>
      </c>
    </row>
    <row r="137" spans="1:13" x14ac:dyDescent="0.25">
      <c r="A137" s="199"/>
      <c r="B137" s="200"/>
      <c r="C137" s="81" t="s">
        <v>231</v>
      </c>
      <c r="D137" s="128" t="s">
        <v>166</v>
      </c>
      <c r="E137" s="61"/>
      <c r="F137" s="39"/>
      <c r="G137" s="39"/>
      <c r="H137" s="35">
        <f>+G137-F137</f>
        <v>0</v>
      </c>
      <c r="I137" s="50">
        <f t="shared" si="43"/>
        <v>0</v>
      </c>
      <c r="L137" s="68">
        <f>IFERROR(H137-'Nátok z PRDS'!H137,"N/A")</f>
        <v>0</v>
      </c>
      <c r="M137" s="68">
        <f>IFERROR(H137-'Distribúcia KS v PMDS'!H137,0)</f>
        <v>0</v>
      </c>
    </row>
    <row r="138" spans="1:13" x14ac:dyDescent="0.25">
      <c r="A138" s="199"/>
      <c r="B138" s="200"/>
      <c r="C138" s="81" t="s">
        <v>163</v>
      </c>
      <c r="D138" s="221" t="s">
        <v>249</v>
      </c>
      <c r="E138" s="201">
        <f>+E139</f>
        <v>0</v>
      </c>
      <c r="F138" s="39"/>
      <c r="G138" s="39"/>
      <c r="H138" s="35" t="s">
        <v>67</v>
      </c>
      <c r="I138" s="35" t="s">
        <v>67</v>
      </c>
      <c r="L138" s="68" t="str">
        <f>IFERROR(H138-'Nátok z PRDS'!H138,"N/A")</f>
        <v>N/A</v>
      </c>
      <c r="M138" s="68">
        <f>IFERROR(H138-'Distribúcia KS v PMDS'!H138,0)</f>
        <v>0</v>
      </c>
    </row>
    <row r="139" spans="1:13" x14ac:dyDescent="0.25">
      <c r="A139" s="199"/>
      <c r="B139" s="200"/>
      <c r="C139" s="81" t="s">
        <v>164</v>
      </c>
      <c r="D139" s="222"/>
      <c r="E139" s="201"/>
      <c r="F139" s="39"/>
      <c r="G139" s="39"/>
      <c r="H139" s="35" t="s">
        <v>67</v>
      </c>
      <c r="I139" s="35" t="s">
        <v>67</v>
      </c>
      <c r="L139" s="68" t="str">
        <f>IFERROR(H139-'Nátok z PRDS'!H139,"N/A")</f>
        <v>N/A</v>
      </c>
      <c r="M139" s="68">
        <f>IFERROR(H139-'Distribúcia KS v PMDS'!H139,0)</f>
        <v>0</v>
      </c>
    </row>
    <row r="140" spans="1:13" x14ac:dyDescent="0.25">
      <c r="A140" s="199"/>
      <c r="B140" s="200"/>
      <c r="C140" s="81" t="s">
        <v>168</v>
      </c>
      <c r="D140" s="223"/>
      <c r="E140" s="201"/>
      <c r="F140" s="35">
        <f>+F138+F139</f>
        <v>0</v>
      </c>
      <c r="G140" s="35">
        <f t="shared" ref="G140" si="44">+G138+G139</f>
        <v>0</v>
      </c>
      <c r="H140" s="35">
        <f>+G140-F140</f>
        <v>0</v>
      </c>
      <c r="I140" s="50">
        <f>+ROUND(IF(H140&gt;0,H140*E138,0),4)</f>
        <v>0</v>
      </c>
      <c r="L140" s="68">
        <f>IFERROR(H140-'Nátok z PRDS'!H140,"N/A")</f>
        <v>0</v>
      </c>
      <c r="M140" s="68">
        <f>IFERROR(H140-'Distribúcia KS v PMDS'!H140,0)</f>
        <v>0</v>
      </c>
    </row>
    <row r="141" spans="1:13" x14ac:dyDescent="0.25">
      <c r="A141" s="218" t="s">
        <v>64</v>
      </c>
      <c r="B141" s="221" t="s">
        <v>187</v>
      </c>
      <c r="C141" s="83" t="s">
        <v>162</v>
      </c>
      <c r="D141" s="128" t="s">
        <v>236</v>
      </c>
      <c r="E141" s="61"/>
      <c r="F141" s="39"/>
      <c r="G141" s="39"/>
      <c r="H141" s="35">
        <f>+G141-F141</f>
        <v>0</v>
      </c>
      <c r="I141" s="50">
        <f>+ROUND(IF(H141&gt;0,H141*E141,0),4)</f>
        <v>0</v>
      </c>
      <c r="L141" s="68">
        <f>IFERROR(H141-'Nátok z PRDS'!H141,"N/A")</f>
        <v>0</v>
      </c>
      <c r="M141" s="68">
        <f>IFERROR(H141-'Distribúcia KS v PMDS'!H141,0)</f>
        <v>0</v>
      </c>
    </row>
    <row r="142" spans="1:13" x14ac:dyDescent="0.25">
      <c r="A142" s="219"/>
      <c r="B142" s="222"/>
      <c r="C142" s="83" t="s">
        <v>230</v>
      </c>
      <c r="D142" s="128" t="s">
        <v>165</v>
      </c>
      <c r="E142" s="61"/>
      <c r="F142" s="39"/>
      <c r="G142" s="39"/>
      <c r="H142" s="35">
        <f>+G142-F142</f>
        <v>0</v>
      </c>
      <c r="I142" s="50">
        <f>+ROUND(IF(H142&gt;0,H142*E142,0),4)</f>
        <v>0</v>
      </c>
      <c r="L142" s="68">
        <f>IFERROR(H142-'Nátok z PRDS'!H142,"N/A")</f>
        <v>0</v>
      </c>
      <c r="M142" s="68">
        <f>IFERROR(H142-'Distribúcia KS v PMDS'!H142,0)</f>
        <v>0</v>
      </c>
    </row>
    <row r="143" spans="1:13" x14ac:dyDescent="0.25">
      <c r="A143" s="219"/>
      <c r="B143" s="222"/>
      <c r="C143" s="83" t="s">
        <v>231</v>
      </c>
      <c r="D143" s="130" t="s">
        <v>166</v>
      </c>
      <c r="E143" s="61"/>
      <c r="F143" s="39"/>
      <c r="G143" s="39"/>
      <c r="H143" s="35">
        <f>+G143-F143</f>
        <v>0</v>
      </c>
      <c r="I143" s="50">
        <f>+ROUND(IF(H143&gt;0,H143*E143,0),4)</f>
        <v>0</v>
      </c>
      <c r="L143" s="68">
        <f>IFERROR(H143-'Nátok z PRDS'!H143,"N/A")</f>
        <v>0</v>
      </c>
      <c r="M143" s="68">
        <f>IFERROR(H143-'Distribúcia KS v PMDS'!H143,0)</f>
        <v>0</v>
      </c>
    </row>
    <row r="144" spans="1:13" x14ac:dyDescent="0.25">
      <c r="A144" s="219"/>
      <c r="B144" s="222"/>
      <c r="C144" s="81" t="s">
        <v>163</v>
      </c>
      <c r="D144" s="221" t="s">
        <v>249</v>
      </c>
      <c r="E144" s="201">
        <f>+E145</f>
        <v>0</v>
      </c>
      <c r="F144" s="39">
        <v>46.464999999999996</v>
      </c>
      <c r="G144" s="39">
        <v>50.793999999999997</v>
      </c>
      <c r="H144" s="35" t="s">
        <v>67</v>
      </c>
      <c r="I144" s="35" t="s">
        <v>67</v>
      </c>
      <c r="L144" s="68" t="str">
        <f>IFERROR(H144-'Nátok z PRDS'!H144,"N/A")</f>
        <v>N/A</v>
      </c>
      <c r="M144" s="68">
        <f>IFERROR(H144-'Distribúcia KS v PMDS'!H144,0)</f>
        <v>0</v>
      </c>
    </row>
    <row r="145" spans="1:13" x14ac:dyDescent="0.25">
      <c r="A145" s="219"/>
      <c r="B145" s="222"/>
      <c r="C145" s="81" t="s">
        <v>164</v>
      </c>
      <c r="D145" s="222"/>
      <c r="E145" s="201"/>
      <c r="F145" s="39">
        <v>11.466000000000001</v>
      </c>
      <c r="G145" s="39">
        <v>16.826000000000001</v>
      </c>
      <c r="H145" s="35" t="s">
        <v>67</v>
      </c>
      <c r="I145" s="35" t="s">
        <v>67</v>
      </c>
      <c r="L145" s="68" t="str">
        <f>IFERROR(H145-'Nátok z PRDS'!H145,"N/A")</f>
        <v>N/A</v>
      </c>
      <c r="M145" s="68">
        <f>IFERROR(H145-'Distribúcia KS v PMDS'!H145,0)</f>
        <v>0</v>
      </c>
    </row>
    <row r="146" spans="1:13" x14ac:dyDescent="0.25">
      <c r="A146" s="220"/>
      <c r="B146" s="223"/>
      <c r="C146" s="81" t="s">
        <v>168</v>
      </c>
      <c r="D146" s="223"/>
      <c r="E146" s="201"/>
      <c r="F146" s="35">
        <f>+F144+F145</f>
        <v>57.930999999999997</v>
      </c>
      <c r="G146" s="35">
        <f>+G144+G145</f>
        <v>67.62</v>
      </c>
      <c r="H146" s="35">
        <f>+G146-F146</f>
        <v>9.6890000000000072</v>
      </c>
      <c r="I146" s="50">
        <f>+ROUND(IF(H146&gt;0,H146*E144,0),4)</f>
        <v>0</v>
      </c>
      <c r="L146" s="68">
        <f>IFERROR(H146-'Nátok z PRDS'!H146,"N/A")</f>
        <v>9.6890000000000072</v>
      </c>
      <c r="M146" s="68">
        <f>IFERROR(H146-'Distribúcia KS v PMDS'!H146,0)</f>
        <v>9.6890000000000072</v>
      </c>
    </row>
    <row r="147" spans="1:13" x14ac:dyDescent="0.25">
      <c r="A147" s="199" t="s">
        <v>64</v>
      </c>
      <c r="B147" s="200" t="s">
        <v>232</v>
      </c>
      <c r="C147" s="81" t="s">
        <v>230</v>
      </c>
      <c r="D147" s="128" t="s">
        <v>165</v>
      </c>
      <c r="E147" s="61"/>
      <c r="F147" s="39"/>
      <c r="G147" s="39"/>
      <c r="H147" s="35">
        <f>+G147-F147</f>
        <v>0</v>
      </c>
      <c r="I147" s="50">
        <f t="shared" ref="I147" si="45">+ROUND(IF(H147&gt;0,H147*E147,0),4)</f>
        <v>0</v>
      </c>
      <c r="L147" s="68">
        <f>IFERROR(H147-'Nátok z PRDS'!H147,"N/A")</f>
        <v>0</v>
      </c>
      <c r="M147" s="68">
        <f>IFERROR(H147-'Distribúcia KS v PMDS'!H147,0)</f>
        <v>0</v>
      </c>
    </row>
    <row r="148" spans="1:13" x14ac:dyDescent="0.25">
      <c r="A148" s="199"/>
      <c r="B148" s="200"/>
      <c r="C148" s="81" t="s">
        <v>231</v>
      </c>
      <c r="D148" s="128" t="s">
        <v>166</v>
      </c>
      <c r="E148" s="61"/>
      <c r="F148" s="39"/>
      <c r="G148" s="39"/>
      <c r="H148" s="35">
        <f>+G148-F148</f>
        <v>0</v>
      </c>
      <c r="I148" s="50">
        <f>+ROUND(IF(H148&gt;0,H148*E148,0),4)</f>
        <v>0</v>
      </c>
      <c r="L148" s="68">
        <f>IFERROR(H148-'Nátok z PRDS'!H148,"N/A")</f>
        <v>0</v>
      </c>
      <c r="M148" s="68">
        <f>IFERROR(H148-'Distribúcia KS v PMDS'!H148,0)</f>
        <v>0</v>
      </c>
    </row>
    <row r="149" spans="1:13" x14ac:dyDescent="0.25">
      <c r="A149" s="199"/>
      <c r="B149" s="200"/>
      <c r="C149" s="81" t="s">
        <v>179</v>
      </c>
      <c r="D149" s="221" t="s">
        <v>249</v>
      </c>
      <c r="E149" s="201">
        <v>0</v>
      </c>
      <c r="F149" s="39"/>
      <c r="G149" s="39"/>
      <c r="H149" s="35" t="s">
        <v>67</v>
      </c>
      <c r="I149" s="35" t="s">
        <v>67</v>
      </c>
      <c r="L149" s="68" t="str">
        <f>IFERROR(H149-'Nátok z PRDS'!H149,"N/A")</f>
        <v>N/A</v>
      </c>
      <c r="M149" s="68">
        <f>IFERROR(H149-'Distribúcia KS v PMDS'!H149,0)</f>
        <v>0</v>
      </c>
    </row>
    <row r="150" spans="1:13" x14ac:dyDescent="0.25">
      <c r="A150" s="199"/>
      <c r="B150" s="200"/>
      <c r="C150" s="81" t="s">
        <v>164</v>
      </c>
      <c r="D150" s="222"/>
      <c r="E150" s="201"/>
      <c r="F150" s="39"/>
      <c r="G150" s="39"/>
      <c r="H150" s="35" t="s">
        <v>67</v>
      </c>
      <c r="I150" s="35" t="s">
        <v>67</v>
      </c>
      <c r="L150" s="68" t="str">
        <f>IFERROR(H150-'Nátok z PRDS'!H150,"N/A")</f>
        <v>N/A</v>
      </c>
      <c r="M150" s="68">
        <f>IFERROR(H150-'Distribúcia KS v PMDS'!H150,0)</f>
        <v>0</v>
      </c>
    </row>
    <row r="151" spans="1:13" x14ac:dyDescent="0.25">
      <c r="A151" s="199"/>
      <c r="B151" s="200"/>
      <c r="C151" s="81" t="s">
        <v>182</v>
      </c>
      <c r="D151" s="223"/>
      <c r="E151" s="201"/>
      <c r="F151" s="35">
        <f>+F149+F150</f>
        <v>0</v>
      </c>
      <c r="G151" s="35">
        <f t="shared" ref="G151" si="46">+G149+G150</f>
        <v>0</v>
      </c>
      <c r="H151" s="35">
        <f>+G151-F151</f>
        <v>0</v>
      </c>
      <c r="I151" s="50">
        <f>+ROUND(IF(H151&gt;0,H151*E149,0),4)</f>
        <v>0</v>
      </c>
      <c r="L151" s="68">
        <f>IFERROR(H151-'Nátok z PRDS'!H151,"N/A")</f>
        <v>0</v>
      </c>
      <c r="M151" s="68">
        <f>IFERROR(H151-'Distribúcia KS v PMDS'!H151,0)</f>
        <v>0</v>
      </c>
    </row>
    <row r="152" spans="1:13" x14ac:dyDescent="0.25">
      <c r="A152" s="199"/>
      <c r="B152" s="200"/>
      <c r="C152" s="81" t="s">
        <v>180</v>
      </c>
      <c r="D152" s="221" t="s">
        <v>249</v>
      </c>
      <c r="E152" s="201">
        <v>0</v>
      </c>
      <c r="F152" s="39"/>
      <c r="G152" s="39"/>
      <c r="H152" s="35" t="s">
        <v>67</v>
      </c>
      <c r="I152" s="35" t="s">
        <v>67</v>
      </c>
      <c r="L152" s="68" t="str">
        <f>IFERROR(H152-'Nátok z PRDS'!H152,"N/A")</f>
        <v>N/A</v>
      </c>
      <c r="M152" s="68">
        <f>IFERROR(H152-'Distribúcia KS v PMDS'!H152,0)</f>
        <v>0</v>
      </c>
    </row>
    <row r="153" spans="1:13" x14ac:dyDescent="0.25">
      <c r="A153" s="199"/>
      <c r="B153" s="200"/>
      <c r="C153" s="81" t="s">
        <v>164</v>
      </c>
      <c r="D153" s="222"/>
      <c r="E153" s="201"/>
      <c r="F153" s="39"/>
      <c r="G153" s="39"/>
      <c r="H153" s="35" t="s">
        <v>67</v>
      </c>
      <c r="I153" s="35" t="s">
        <v>67</v>
      </c>
      <c r="L153" s="68" t="str">
        <f>IFERROR(H153-'Nátok z PRDS'!H153,"N/A")</f>
        <v>N/A</v>
      </c>
      <c r="M153" s="68">
        <f>IFERROR(H153-'Distribúcia KS v PMDS'!H153,0)</f>
        <v>0</v>
      </c>
    </row>
    <row r="154" spans="1:13" x14ac:dyDescent="0.25">
      <c r="A154" s="199"/>
      <c r="B154" s="200"/>
      <c r="C154" s="81" t="s">
        <v>181</v>
      </c>
      <c r="D154" s="223"/>
      <c r="E154" s="201"/>
      <c r="F154" s="35">
        <f>+F152+F153</f>
        <v>0</v>
      </c>
      <c r="G154" s="35">
        <f t="shared" ref="G154" si="47">+G152+G153</f>
        <v>0</v>
      </c>
      <c r="H154" s="35">
        <f>+G154-F154</f>
        <v>0</v>
      </c>
      <c r="I154" s="50">
        <f>+ROUND(IF(H154&gt;0,H154*E152,0),4)</f>
        <v>0</v>
      </c>
      <c r="L154" s="68">
        <f>IFERROR(H154-'Nátok z PRDS'!H154,"N/A")</f>
        <v>0</v>
      </c>
      <c r="M154" s="68">
        <f>IFERROR(H154-'Distribúcia KS v PMDS'!H154,0)</f>
        <v>0</v>
      </c>
    </row>
    <row r="155" spans="1:13" x14ac:dyDescent="0.25">
      <c r="A155" s="199" t="s">
        <v>64</v>
      </c>
      <c r="B155" s="200" t="s">
        <v>233</v>
      </c>
      <c r="C155" s="81" t="s">
        <v>230</v>
      </c>
      <c r="D155" s="128" t="s">
        <v>165</v>
      </c>
      <c r="E155" s="61"/>
      <c r="F155" s="39"/>
      <c r="G155" s="39"/>
      <c r="H155" s="35">
        <f>+G155-F155</f>
        <v>0</v>
      </c>
      <c r="I155" s="50">
        <f t="shared" ref="I155:I156" si="48">+ROUND(IF(H155&gt;0,H155*E155,0),4)</f>
        <v>0</v>
      </c>
      <c r="L155" s="68">
        <f>IFERROR(H155-'Nátok z PRDS'!H155,"N/A")</f>
        <v>0</v>
      </c>
      <c r="M155" s="68">
        <f>IFERROR(H155-'Distribúcia KS v PMDS'!H155,0)</f>
        <v>0</v>
      </c>
    </row>
    <row r="156" spans="1:13" x14ac:dyDescent="0.25">
      <c r="A156" s="199"/>
      <c r="B156" s="200"/>
      <c r="C156" s="81" t="s">
        <v>231</v>
      </c>
      <c r="D156" s="128" t="s">
        <v>166</v>
      </c>
      <c r="E156" s="61"/>
      <c r="F156" s="39"/>
      <c r="G156" s="39"/>
      <c r="H156" s="35">
        <f>+G156-F156</f>
        <v>0</v>
      </c>
      <c r="I156" s="50">
        <f t="shared" si="48"/>
        <v>0</v>
      </c>
      <c r="L156" s="68">
        <f>IFERROR(H156-'Nátok z PRDS'!H156,"N/A")</f>
        <v>0</v>
      </c>
      <c r="M156" s="68">
        <f>IFERROR(H156-'Distribúcia KS v PMDS'!H156,0)</f>
        <v>0</v>
      </c>
    </row>
    <row r="157" spans="1:13" x14ac:dyDescent="0.25">
      <c r="A157" s="199"/>
      <c r="B157" s="200"/>
      <c r="C157" s="81" t="s">
        <v>226</v>
      </c>
      <c r="D157" s="221" t="s">
        <v>249</v>
      </c>
      <c r="E157" s="201">
        <v>0</v>
      </c>
      <c r="F157" s="39"/>
      <c r="G157" s="39"/>
      <c r="H157" s="35" t="s">
        <v>67</v>
      </c>
      <c r="I157" s="35" t="s">
        <v>67</v>
      </c>
      <c r="L157" s="68" t="str">
        <f>IFERROR(H157-'Nátok z PRDS'!H157,"N/A")</f>
        <v>N/A</v>
      </c>
      <c r="M157" s="68">
        <f>IFERROR(H157-'Distribúcia KS v PMDS'!H157,0)</f>
        <v>0</v>
      </c>
    </row>
    <row r="158" spans="1:13" x14ac:dyDescent="0.25">
      <c r="A158" s="199"/>
      <c r="B158" s="200"/>
      <c r="C158" s="81" t="s">
        <v>164</v>
      </c>
      <c r="D158" s="222"/>
      <c r="E158" s="201"/>
      <c r="F158" s="39"/>
      <c r="G158" s="39"/>
      <c r="H158" s="35" t="s">
        <v>67</v>
      </c>
      <c r="I158" s="35" t="s">
        <v>67</v>
      </c>
      <c r="L158" s="68" t="str">
        <f>IFERROR(H158-'Nátok z PRDS'!H158,"N/A")</f>
        <v>N/A</v>
      </c>
      <c r="M158" s="68">
        <f>IFERROR(H158-'Distribúcia KS v PMDS'!H158,0)</f>
        <v>0</v>
      </c>
    </row>
    <row r="159" spans="1:13" x14ac:dyDescent="0.25">
      <c r="A159" s="199"/>
      <c r="B159" s="200"/>
      <c r="C159" s="81" t="s">
        <v>227</v>
      </c>
      <c r="D159" s="223"/>
      <c r="E159" s="201"/>
      <c r="F159" s="35">
        <f>+F157+F158</f>
        <v>0</v>
      </c>
      <c r="G159" s="35">
        <f t="shared" ref="G159" si="49">+G157+G158</f>
        <v>0</v>
      </c>
      <c r="H159" s="35">
        <f>+G159-F159</f>
        <v>0</v>
      </c>
      <c r="I159" s="50">
        <f>+ROUND(IF(H159&gt;0,H159*E157,0),4)</f>
        <v>0</v>
      </c>
      <c r="L159" s="68">
        <f>IFERROR(H159-'Nátok z PRDS'!H159,"N/A")</f>
        <v>0</v>
      </c>
      <c r="M159" s="68">
        <f>IFERROR(H159-'Distribúcia KS v PMDS'!H159,0)</f>
        <v>0</v>
      </c>
    </row>
    <row r="160" spans="1:13" x14ac:dyDescent="0.25">
      <c r="A160" s="199"/>
      <c r="B160" s="200"/>
      <c r="C160" s="81" t="s">
        <v>179</v>
      </c>
      <c r="D160" s="221" t="s">
        <v>249</v>
      </c>
      <c r="E160" s="201">
        <v>0</v>
      </c>
      <c r="F160" s="39"/>
      <c r="G160" s="39"/>
      <c r="H160" s="35" t="s">
        <v>67</v>
      </c>
      <c r="I160" s="35" t="s">
        <v>67</v>
      </c>
      <c r="L160" s="68" t="str">
        <f>IFERROR(H160-'Nátok z PRDS'!H160,"N/A")</f>
        <v>N/A</v>
      </c>
      <c r="M160" s="68">
        <f>IFERROR(H160-'Distribúcia KS v PMDS'!H160,0)</f>
        <v>0</v>
      </c>
    </row>
    <row r="161" spans="1:13" x14ac:dyDescent="0.25">
      <c r="A161" s="199"/>
      <c r="B161" s="200"/>
      <c r="C161" s="81" t="s">
        <v>164</v>
      </c>
      <c r="D161" s="222"/>
      <c r="E161" s="201"/>
      <c r="F161" s="39"/>
      <c r="G161" s="39"/>
      <c r="H161" s="35" t="s">
        <v>67</v>
      </c>
      <c r="I161" s="35" t="s">
        <v>67</v>
      </c>
      <c r="L161" s="68" t="str">
        <f>IFERROR(H161-'Nátok z PRDS'!H161,"N/A")</f>
        <v>N/A</v>
      </c>
      <c r="M161" s="68">
        <f>IFERROR(H161-'Distribúcia KS v PMDS'!H161,0)</f>
        <v>0</v>
      </c>
    </row>
    <row r="162" spans="1:13" x14ac:dyDescent="0.25">
      <c r="A162" s="199"/>
      <c r="B162" s="200"/>
      <c r="C162" s="81" t="s">
        <v>182</v>
      </c>
      <c r="D162" s="223"/>
      <c r="E162" s="201"/>
      <c r="F162" s="35">
        <f>+F160+F161</f>
        <v>0</v>
      </c>
      <c r="G162" s="35">
        <f t="shared" ref="G162" si="50">+G160+G161</f>
        <v>0</v>
      </c>
      <c r="H162" s="35">
        <f>+G162-F162</f>
        <v>0</v>
      </c>
      <c r="I162" s="50">
        <f>+ROUND(IF(H162&gt;0,H162*E160,0),4)</f>
        <v>0</v>
      </c>
      <c r="L162" s="68">
        <f>IFERROR(H162-'Nátok z PRDS'!H162,"N/A")</f>
        <v>0</v>
      </c>
      <c r="M162" s="68">
        <f>IFERROR(H162-'Distribúcia KS v PMDS'!H162,0)</f>
        <v>0</v>
      </c>
    </row>
    <row r="163" spans="1:13" x14ac:dyDescent="0.25">
      <c r="A163" s="199"/>
      <c r="B163" s="200"/>
      <c r="C163" s="81" t="s">
        <v>180</v>
      </c>
      <c r="D163" s="221" t="s">
        <v>249</v>
      </c>
      <c r="E163" s="201">
        <v>0</v>
      </c>
      <c r="F163" s="39"/>
      <c r="G163" s="39"/>
      <c r="H163" s="35" t="s">
        <v>67</v>
      </c>
      <c r="I163" s="35" t="s">
        <v>67</v>
      </c>
      <c r="L163" s="68" t="str">
        <f>IFERROR(H163-'Nátok z PRDS'!H163,"N/A")</f>
        <v>N/A</v>
      </c>
      <c r="M163" s="68">
        <f>IFERROR(H163-'Distribúcia KS v PMDS'!H163,0)</f>
        <v>0</v>
      </c>
    </row>
    <row r="164" spans="1:13" x14ac:dyDescent="0.25">
      <c r="A164" s="199"/>
      <c r="B164" s="200"/>
      <c r="C164" s="81" t="s">
        <v>164</v>
      </c>
      <c r="D164" s="222"/>
      <c r="E164" s="201"/>
      <c r="F164" s="39"/>
      <c r="G164" s="39"/>
      <c r="H164" s="35" t="s">
        <v>67</v>
      </c>
      <c r="I164" s="35" t="s">
        <v>67</v>
      </c>
      <c r="L164" s="68" t="str">
        <f>IFERROR(H164-'Nátok z PRDS'!H164,"N/A")</f>
        <v>N/A</v>
      </c>
      <c r="M164" s="68">
        <f>IFERROR(H164-'Distribúcia KS v PMDS'!H164,0)</f>
        <v>0</v>
      </c>
    </row>
    <row r="165" spans="1:13" x14ac:dyDescent="0.25">
      <c r="A165" s="199"/>
      <c r="B165" s="200"/>
      <c r="C165" s="81" t="s">
        <v>181</v>
      </c>
      <c r="D165" s="223"/>
      <c r="E165" s="201"/>
      <c r="F165" s="35">
        <f>+F163+F164</f>
        <v>0</v>
      </c>
      <c r="G165" s="35">
        <f t="shared" ref="G165" si="51">+G163+G164</f>
        <v>0</v>
      </c>
      <c r="H165" s="35">
        <f>+G165-F165</f>
        <v>0</v>
      </c>
      <c r="I165" s="50">
        <f>+ROUND(IF(H165&gt;0,H165*E163,0),4)</f>
        <v>0</v>
      </c>
      <c r="L165" s="68">
        <f>IFERROR(H165-'Nátok z PRDS'!H165,"N/A")</f>
        <v>0</v>
      </c>
      <c r="M165" s="68">
        <f>IFERROR(H165-'Distribúcia KS v PMDS'!H165,0)</f>
        <v>0</v>
      </c>
    </row>
    <row r="166" spans="1:13" x14ac:dyDescent="0.25">
      <c r="A166" s="199"/>
      <c r="B166" s="200"/>
      <c r="C166" s="81" t="s">
        <v>228</v>
      </c>
      <c r="D166" s="221" t="s">
        <v>249</v>
      </c>
      <c r="E166" s="201">
        <v>0</v>
      </c>
      <c r="F166" s="39"/>
      <c r="G166" s="39"/>
      <c r="H166" s="35" t="s">
        <v>67</v>
      </c>
      <c r="I166" s="35" t="s">
        <v>67</v>
      </c>
      <c r="L166" s="68" t="str">
        <f>IFERROR(H166-'Nátok z PRDS'!H166,"N/A")</f>
        <v>N/A</v>
      </c>
      <c r="M166" s="68">
        <f>IFERROR(H166-'Distribúcia KS v PMDS'!H166,0)</f>
        <v>0</v>
      </c>
    </row>
    <row r="167" spans="1:13" x14ac:dyDescent="0.25">
      <c r="A167" s="199"/>
      <c r="B167" s="200"/>
      <c r="C167" s="81" t="s">
        <v>164</v>
      </c>
      <c r="D167" s="222"/>
      <c r="E167" s="201"/>
      <c r="F167" s="39"/>
      <c r="G167" s="39"/>
      <c r="H167" s="35" t="s">
        <v>67</v>
      </c>
      <c r="I167" s="35" t="s">
        <v>67</v>
      </c>
      <c r="L167" s="68" t="str">
        <f>IFERROR(H167-'Nátok z PRDS'!H167,"N/A")</f>
        <v>N/A</v>
      </c>
      <c r="M167" s="68">
        <f>IFERROR(H167-'Distribúcia KS v PMDS'!H167,0)</f>
        <v>0</v>
      </c>
    </row>
    <row r="168" spans="1:13" x14ac:dyDescent="0.25">
      <c r="A168" s="199"/>
      <c r="B168" s="200"/>
      <c r="C168" s="81" t="s">
        <v>229</v>
      </c>
      <c r="D168" s="223"/>
      <c r="E168" s="201"/>
      <c r="F168" s="35">
        <f>+F166+F167</f>
        <v>0</v>
      </c>
      <c r="G168" s="35">
        <f t="shared" ref="G168" si="52">+G166+G167</f>
        <v>0</v>
      </c>
      <c r="H168" s="35">
        <f>+G168-F168</f>
        <v>0</v>
      </c>
      <c r="I168" s="50">
        <f>+ROUND(IF(H168&gt;0,H168*E166,0),4)</f>
        <v>0</v>
      </c>
      <c r="L168" s="68">
        <f>IFERROR(H168-'Nátok z PRDS'!H168,"N/A")</f>
        <v>0</v>
      </c>
      <c r="M168" s="68">
        <f>IFERROR(H168-'Distribúcia KS v PMDS'!H168,0)</f>
        <v>0</v>
      </c>
    </row>
    <row r="169" spans="1:13" x14ac:dyDescent="0.25">
      <c r="A169" s="209" t="s">
        <v>64</v>
      </c>
      <c r="B169" s="210" t="s">
        <v>188</v>
      </c>
      <c r="C169" s="109" t="s">
        <v>162</v>
      </c>
      <c r="D169" s="122" t="s">
        <v>67</v>
      </c>
      <c r="E169" s="52" t="s">
        <v>67</v>
      </c>
      <c r="F169" s="52" t="s">
        <v>67</v>
      </c>
      <c r="G169" s="52" t="s">
        <v>67</v>
      </c>
      <c r="H169" s="52" t="s">
        <v>67</v>
      </c>
      <c r="I169" s="52">
        <f>SUM(I79:I80,I84:I85,I89:I90,I94:I95,I102:I103,I110:I111,I118:I119,I126:I127,I134:I137,I147:I148,I155:I156,I141:I143)</f>
        <v>0</v>
      </c>
      <c r="L169" s="68" t="str">
        <f>IFERROR(H169-'Nátok z PRDS'!H169,"N/A")</f>
        <v>N/A</v>
      </c>
      <c r="M169" s="68">
        <f>IFERROR(H169-'Distribúcia KS v PMDS'!H169,0)</f>
        <v>0</v>
      </c>
    </row>
    <row r="170" spans="1:13" x14ac:dyDescent="0.25">
      <c r="A170" s="209"/>
      <c r="B170" s="210"/>
      <c r="C170" s="109" t="s">
        <v>168</v>
      </c>
      <c r="D170" s="89" t="s">
        <v>249</v>
      </c>
      <c r="E170" s="52">
        <f>SUM(E81,E86,E91,E96,E99,E104,E107,E112,E115,E120,E123,E128,E131,E138,E144,E149,E152,E157,E160,E163,E166)</f>
        <v>0</v>
      </c>
      <c r="F170" s="52" t="s">
        <v>67</v>
      </c>
      <c r="G170" s="52" t="s">
        <v>67</v>
      </c>
      <c r="H170" s="52" t="s">
        <v>67</v>
      </c>
      <c r="I170" s="52">
        <f>SUM(I83,I88,I93,I98,I101,I106,I109,I114,I117,I122,I125,I130,I133,I140,I146,I151,I154,I159,I162,I165,I168)</f>
        <v>0</v>
      </c>
      <c r="L170" s="68" t="str">
        <f>IFERROR(H170-'Nátok z PRDS'!H170,"N/A")</f>
        <v>N/A</v>
      </c>
      <c r="M170" s="68">
        <f>IFERROR(H170-'Distribúcia KS v PMDS'!H170,0)</f>
        <v>0</v>
      </c>
    </row>
    <row r="171" spans="1:13" x14ac:dyDescent="0.25">
      <c r="A171" s="200" t="s">
        <v>65</v>
      </c>
      <c r="B171" s="200" t="s">
        <v>172</v>
      </c>
      <c r="C171" s="84" t="s">
        <v>203</v>
      </c>
      <c r="D171" s="142" t="s">
        <v>166</v>
      </c>
      <c r="E171" s="61">
        <v>0</v>
      </c>
      <c r="F171" s="117">
        <v>6.1619999999999999</v>
      </c>
      <c r="G171" s="117">
        <v>6.1619999999999999</v>
      </c>
      <c r="H171" s="35">
        <f t="shared" ref="H171:H180" si="53">+G171-F171</f>
        <v>0</v>
      </c>
      <c r="I171" s="50">
        <f>+ROUND(IF(H171&gt;0,H171*E171,0),4)</f>
        <v>0</v>
      </c>
      <c r="L171" s="68">
        <f>IFERROR(H171-'Nátok z PRDS'!H171,"N/A")</f>
        <v>0</v>
      </c>
      <c r="M171" s="68">
        <f>IFERROR(H171-'Distribúcia KS v PMDS'!H171,0)</f>
        <v>0</v>
      </c>
    </row>
    <row r="172" spans="1:13" x14ac:dyDescent="0.25">
      <c r="A172" s="200"/>
      <c r="B172" s="200"/>
      <c r="C172" s="84" t="s">
        <v>204</v>
      </c>
      <c r="D172" s="142" t="s">
        <v>166</v>
      </c>
      <c r="E172" s="61">
        <v>0</v>
      </c>
      <c r="F172" s="117">
        <v>5.3582999999999998</v>
      </c>
      <c r="G172" s="117">
        <v>5.3582999999999998</v>
      </c>
      <c r="H172" s="35">
        <f t="shared" si="53"/>
        <v>0</v>
      </c>
      <c r="I172" s="50">
        <f t="shared" ref="I172:I180" si="54">+ROUND(IF(H172&gt;0,H172*E172,0),4)</f>
        <v>0</v>
      </c>
      <c r="L172" s="68">
        <f>IFERROR(H172-'Nátok z PRDS'!H172,"N/A")</f>
        <v>0</v>
      </c>
      <c r="M172" s="68">
        <f>IFERROR(H172-'Distribúcia KS v PMDS'!H172,0)</f>
        <v>0</v>
      </c>
    </row>
    <row r="173" spans="1:13" x14ac:dyDescent="0.25">
      <c r="A173" s="200"/>
      <c r="B173" s="200"/>
      <c r="C173" s="84" t="s">
        <v>205</v>
      </c>
      <c r="D173" s="142" t="s">
        <v>166</v>
      </c>
      <c r="E173" s="61">
        <v>0</v>
      </c>
      <c r="F173" s="117">
        <v>4.5545</v>
      </c>
      <c r="G173" s="117">
        <v>4.5545</v>
      </c>
      <c r="H173" s="35">
        <f t="shared" si="53"/>
        <v>0</v>
      </c>
      <c r="I173" s="50">
        <f t="shared" si="54"/>
        <v>0</v>
      </c>
      <c r="L173" s="68">
        <f>IFERROR(H173-'Nátok z PRDS'!H173,"N/A")</f>
        <v>0</v>
      </c>
      <c r="M173" s="68">
        <f>IFERROR(H173-'Distribúcia KS v PMDS'!H173,0)</f>
        <v>0</v>
      </c>
    </row>
    <row r="174" spans="1:13" x14ac:dyDescent="0.25">
      <c r="A174" s="200"/>
      <c r="B174" s="200"/>
      <c r="C174" s="85" t="s">
        <v>223</v>
      </c>
      <c r="D174" s="142" t="s">
        <v>166</v>
      </c>
      <c r="E174" s="61">
        <v>0</v>
      </c>
      <c r="F174" s="117"/>
      <c r="G174" s="117"/>
      <c r="H174" s="35">
        <f t="shared" si="53"/>
        <v>0</v>
      </c>
      <c r="I174" s="50">
        <f t="shared" si="54"/>
        <v>0</v>
      </c>
      <c r="L174" s="68">
        <f>IFERROR(H174-'Nátok z PRDS'!H174,"N/A")</f>
        <v>0</v>
      </c>
      <c r="M174" s="68">
        <f>IFERROR(H174-'Distribúcia KS v PMDS'!H174,0)</f>
        <v>0</v>
      </c>
    </row>
    <row r="175" spans="1:13" ht="24" x14ac:dyDescent="0.25">
      <c r="A175" s="200"/>
      <c r="B175" s="200"/>
      <c r="C175" s="84" t="s">
        <v>207</v>
      </c>
      <c r="D175" s="142" t="s">
        <v>166</v>
      </c>
      <c r="E175" s="61">
        <v>0</v>
      </c>
      <c r="F175" s="39">
        <v>0.92430000000000001</v>
      </c>
      <c r="G175" s="39">
        <v>0.92430000000000001</v>
      </c>
      <c r="H175" s="35">
        <f t="shared" si="53"/>
        <v>0</v>
      </c>
      <c r="I175" s="50">
        <f t="shared" si="54"/>
        <v>0</v>
      </c>
      <c r="L175" s="68">
        <f>IFERROR(H175-'Nátok z PRDS'!H175,"N/A")</f>
        <v>0</v>
      </c>
      <c r="M175" s="68">
        <f>IFERROR(H175-'Distribúcia KS v PMDS'!H175,0)</f>
        <v>0</v>
      </c>
    </row>
    <row r="176" spans="1:13" ht="24" x14ac:dyDescent="0.25">
      <c r="A176" s="200"/>
      <c r="B176" s="200"/>
      <c r="C176" s="84" t="s">
        <v>208</v>
      </c>
      <c r="D176" s="142" t="s">
        <v>166</v>
      </c>
      <c r="E176" s="61">
        <v>0</v>
      </c>
      <c r="F176" s="39">
        <v>0.80369999999999997</v>
      </c>
      <c r="G176" s="39">
        <v>0.80369999999999997</v>
      </c>
      <c r="H176" s="35">
        <f t="shared" si="53"/>
        <v>0</v>
      </c>
      <c r="I176" s="50">
        <f t="shared" si="54"/>
        <v>0</v>
      </c>
      <c r="L176" s="68">
        <f>IFERROR(H176-'Nátok z PRDS'!H176,"N/A")</f>
        <v>0</v>
      </c>
      <c r="M176" s="68">
        <f>IFERROR(H176-'Distribúcia KS v PMDS'!H176,0)</f>
        <v>0</v>
      </c>
    </row>
    <row r="177" spans="1:13" ht="24" x14ac:dyDescent="0.25">
      <c r="A177" s="200"/>
      <c r="B177" s="200"/>
      <c r="C177" s="84" t="s">
        <v>209</v>
      </c>
      <c r="D177" s="142" t="s">
        <v>166</v>
      </c>
      <c r="E177" s="61">
        <v>0</v>
      </c>
      <c r="F177" s="39">
        <v>0.68320000000000003</v>
      </c>
      <c r="G177" s="39">
        <v>0.68320000000000003</v>
      </c>
      <c r="H177" s="35">
        <f t="shared" si="53"/>
        <v>0</v>
      </c>
      <c r="I177" s="50">
        <f t="shared" si="54"/>
        <v>0</v>
      </c>
      <c r="L177" s="68">
        <f>IFERROR(H177-'Nátok z PRDS'!H177,"N/A")</f>
        <v>0</v>
      </c>
      <c r="M177" s="68">
        <f>IFERROR(H177-'Distribúcia KS v PMDS'!H177,0)</f>
        <v>0</v>
      </c>
    </row>
    <row r="178" spans="1:13" x14ac:dyDescent="0.25">
      <c r="A178" s="200"/>
      <c r="B178" s="200"/>
      <c r="C178" s="84" t="s">
        <v>210</v>
      </c>
      <c r="D178" s="142" t="s">
        <v>166</v>
      </c>
      <c r="E178" s="61">
        <v>0</v>
      </c>
      <c r="F178" s="39">
        <v>0.4622</v>
      </c>
      <c r="G178" s="39">
        <v>0.4622</v>
      </c>
      <c r="H178" s="35">
        <f t="shared" si="53"/>
        <v>0</v>
      </c>
      <c r="I178" s="50">
        <f t="shared" si="54"/>
        <v>0</v>
      </c>
      <c r="L178" s="68">
        <f>IFERROR(H178-'Nátok z PRDS'!H178,"N/A")</f>
        <v>0</v>
      </c>
      <c r="M178" s="68">
        <f>IFERROR(H178-'Distribúcia KS v PMDS'!H178,0)</f>
        <v>0</v>
      </c>
    </row>
    <row r="179" spans="1:13" x14ac:dyDescent="0.25">
      <c r="A179" s="200"/>
      <c r="B179" s="200"/>
      <c r="C179" s="84" t="s">
        <v>211</v>
      </c>
      <c r="D179" s="142" t="s">
        <v>166</v>
      </c>
      <c r="E179" s="61">
        <v>0</v>
      </c>
      <c r="F179" s="39">
        <v>0.40189999999999998</v>
      </c>
      <c r="G179" s="39">
        <v>0.40189999999999998</v>
      </c>
      <c r="H179" s="35">
        <f t="shared" si="53"/>
        <v>0</v>
      </c>
      <c r="I179" s="50">
        <f t="shared" si="54"/>
        <v>0</v>
      </c>
      <c r="L179" s="68">
        <f>IFERROR(H179-'Nátok z PRDS'!H179,"N/A")</f>
        <v>0</v>
      </c>
      <c r="M179" s="68">
        <f>IFERROR(H179-'Distribúcia KS v PMDS'!H179,0)</f>
        <v>0</v>
      </c>
    </row>
    <row r="180" spans="1:13" x14ac:dyDescent="0.25">
      <c r="A180" s="200"/>
      <c r="B180" s="200"/>
      <c r="C180" s="84" t="s">
        <v>212</v>
      </c>
      <c r="D180" s="142" t="s">
        <v>166</v>
      </c>
      <c r="E180" s="61">
        <v>0</v>
      </c>
      <c r="F180" s="39">
        <v>0.34160000000000001</v>
      </c>
      <c r="G180" s="39">
        <v>0.34160000000000001</v>
      </c>
      <c r="H180" s="35">
        <f t="shared" si="53"/>
        <v>0</v>
      </c>
      <c r="I180" s="50">
        <f t="shared" si="54"/>
        <v>0</v>
      </c>
      <c r="L180" s="68">
        <f>IFERROR(H180-'Nátok z PRDS'!H180,"N/A")</f>
        <v>0</v>
      </c>
      <c r="M180" s="68">
        <f>IFERROR(H180-'Distribúcia KS v PMDS'!H180,0)</f>
        <v>0</v>
      </c>
    </row>
    <row r="181" spans="1:13" x14ac:dyDescent="0.25">
      <c r="A181" s="200"/>
      <c r="B181" s="200"/>
      <c r="C181" s="84" t="s">
        <v>163</v>
      </c>
      <c r="D181" s="221" t="s">
        <v>249</v>
      </c>
      <c r="E181" s="201"/>
      <c r="F181" s="39">
        <v>9.8740000000000006</v>
      </c>
      <c r="G181" s="39">
        <v>8.3669999999999991</v>
      </c>
      <c r="H181" s="35" t="s">
        <v>67</v>
      </c>
      <c r="I181" s="35" t="s">
        <v>67</v>
      </c>
      <c r="L181" s="68" t="str">
        <f>IFERROR(H181-'Nátok z PRDS'!H181,"N/A")</f>
        <v>N/A</v>
      </c>
      <c r="M181" s="68">
        <f>IFERROR(H181-'Distribúcia KS v PMDS'!H181,0)</f>
        <v>0</v>
      </c>
    </row>
    <row r="182" spans="1:13" x14ac:dyDescent="0.25">
      <c r="A182" s="200"/>
      <c r="B182" s="200"/>
      <c r="C182" s="84" t="s">
        <v>164</v>
      </c>
      <c r="D182" s="222"/>
      <c r="E182" s="201"/>
      <c r="F182" s="39">
        <v>5.07</v>
      </c>
      <c r="G182" s="39">
        <v>7.44</v>
      </c>
      <c r="H182" s="35" t="s">
        <v>67</v>
      </c>
      <c r="I182" s="35" t="s">
        <v>67</v>
      </c>
      <c r="L182" s="68" t="str">
        <f>IFERROR(H182-'Nátok z PRDS'!H182,"N/A")</f>
        <v>N/A</v>
      </c>
      <c r="M182" s="68">
        <f>IFERROR(H182-'Distribúcia KS v PMDS'!H182,0)</f>
        <v>0</v>
      </c>
    </row>
    <row r="183" spans="1:13" x14ac:dyDescent="0.25">
      <c r="A183" s="200"/>
      <c r="B183" s="200"/>
      <c r="C183" s="84" t="s">
        <v>168</v>
      </c>
      <c r="D183" s="223"/>
      <c r="E183" s="201"/>
      <c r="F183" s="35">
        <f>+F181+F182</f>
        <v>14.944000000000001</v>
      </c>
      <c r="G183" s="35">
        <f t="shared" ref="G183" si="55">+G181+G182</f>
        <v>15.806999999999999</v>
      </c>
      <c r="H183" s="35">
        <f>+G183-F183</f>
        <v>0.86299999999999777</v>
      </c>
      <c r="I183" s="50">
        <f>+ROUND(IF(H183&gt;0,H183*E181,0),4)</f>
        <v>0</v>
      </c>
      <c r="L183" s="68">
        <f>IFERROR(H183-'Nátok z PRDS'!H183,"N/A")</f>
        <v>0.86299999999999777</v>
      </c>
      <c r="M183" s="68">
        <f>IFERROR(H183-'Distribúcia KS v PMDS'!H183,0)</f>
        <v>0.86299999999999777</v>
      </c>
    </row>
    <row r="184" spans="1:13" x14ac:dyDescent="0.25">
      <c r="A184" s="200"/>
      <c r="B184" s="200"/>
      <c r="C184" s="84" t="s">
        <v>184</v>
      </c>
      <c r="D184" s="221" t="s">
        <v>249</v>
      </c>
      <c r="E184" s="201">
        <v>0</v>
      </c>
      <c r="F184" s="39">
        <v>9.8740000000000006</v>
      </c>
      <c r="G184" s="39">
        <v>7.9489999999999998</v>
      </c>
      <c r="H184" s="35" t="s">
        <v>67</v>
      </c>
      <c r="I184" s="35" t="s">
        <v>67</v>
      </c>
      <c r="L184" s="68" t="str">
        <f>IFERROR(H184-'Nátok z PRDS'!H184,"N/A")</f>
        <v>N/A</v>
      </c>
      <c r="M184" s="68">
        <f>IFERROR(H184-'Distribúcia KS v PMDS'!H184,0)</f>
        <v>0</v>
      </c>
    </row>
    <row r="185" spans="1:13" x14ac:dyDescent="0.25">
      <c r="A185" s="200"/>
      <c r="B185" s="200"/>
      <c r="C185" s="84" t="s">
        <v>164</v>
      </c>
      <c r="D185" s="222"/>
      <c r="E185" s="201"/>
      <c r="F185" s="39">
        <v>5.07</v>
      </c>
      <c r="G185" s="39">
        <v>7.44</v>
      </c>
      <c r="H185" s="35" t="s">
        <v>67</v>
      </c>
      <c r="I185" s="35" t="s">
        <v>67</v>
      </c>
      <c r="L185" s="68" t="str">
        <f>IFERROR(H185-'Nátok z PRDS'!H185,"N/A")</f>
        <v>N/A</v>
      </c>
      <c r="M185" s="68">
        <f>IFERROR(H185-'Distribúcia KS v PMDS'!H185,0)</f>
        <v>0</v>
      </c>
    </row>
    <row r="186" spans="1:13" x14ac:dyDescent="0.25">
      <c r="A186" s="200"/>
      <c r="B186" s="200"/>
      <c r="C186" s="84" t="s">
        <v>219</v>
      </c>
      <c r="D186" s="223"/>
      <c r="E186" s="201"/>
      <c r="F186" s="35">
        <f>+F184+F185</f>
        <v>14.944000000000001</v>
      </c>
      <c r="G186" s="35">
        <f t="shared" ref="G186" si="56">+G184+G185</f>
        <v>15.388999999999999</v>
      </c>
      <c r="H186" s="35">
        <f>+G186-F186</f>
        <v>0.44499999999999851</v>
      </c>
      <c r="I186" s="50">
        <f>+ROUND(IF(H186&gt;0,H186*E184,0),4)</f>
        <v>0</v>
      </c>
      <c r="L186" s="68">
        <f>IFERROR(H186-'Nátok z PRDS'!H186,"N/A")</f>
        <v>0.44499999999999851</v>
      </c>
      <c r="M186" s="68">
        <f>IFERROR(H186-'Distribúcia KS v PMDS'!H186,0)</f>
        <v>0.44499999999999851</v>
      </c>
    </row>
    <row r="187" spans="1:13" x14ac:dyDescent="0.25">
      <c r="A187" s="200"/>
      <c r="B187" s="200"/>
      <c r="C187" s="84" t="s">
        <v>185</v>
      </c>
      <c r="D187" s="221" t="s">
        <v>249</v>
      </c>
      <c r="E187" s="201">
        <v>0</v>
      </c>
      <c r="F187" s="39">
        <v>9.8740000000000006</v>
      </c>
      <c r="G187" s="39">
        <v>7.53</v>
      </c>
      <c r="H187" s="35" t="s">
        <v>67</v>
      </c>
      <c r="I187" s="35" t="s">
        <v>67</v>
      </c>
      <c r="L187" s="68" t="str">
        <f>IFERROR(H187-'Nátok z PRDS'!H187,"N/A")</f>
        <v>N/A</v>
      </c>
      <c r="M187" s="68">
        <f>IFERROR(H187-'Distribúcia KS v PMDS'!H187,0)</f>
        <v>0</v>
      </c>
    </row>
    <row r="188" spans="1:13" x14ac:dyDescent="0.25">
      <c r="A188" s="200"/>
      <c r="B188" s="200"/>
      <c r="C188" s="84" t="s">
        <v>164</v>
      </c>
      <c r="D188" s="222"/>
      <c r="E188" s="201"/>
      <c r="F188" s="39">
        <v>5.07</v>
      </c>
      <c r="G188" s="39">
        <v>7.44</v>
      </c>
      <c r="H188" s="35" t="s">
        <v>67</v>
      </c>
      <c r="I188" s="35" t="s">
        <v>67</v>
      </c>
      <c r="L188" s="68" t="str">
        <f>IFERROR(H188-'Nátok z PRDS'!H188,"N/A")</f>
        <v>N/A</v>
      </c>
      <c r="M188" s="68">
        <f>IFERROR(H188-'Distribúcia KS v PMDS'!H188,0)</f>
        <v>0</v>
      </c>
    </row>
    <row r="189" spans="1:13" x14ac:dyDescent="0.25">
      <c r="A189" s="200"/>
      <c r="B189" s="200"/>
      <c r="C189" s="84" t="s">
        <v>220</v>
      </c>
      <c r="D189" s="223"/>
      <c r="E189" s="201"/>
      <c r="F189" s="35">
        <f>+F187+F188</f>
        <v>14.944000000000001</v>
      </c>
      <c r="G189" s="35">
        <f t="shared" ref="G189" si="57">+G187+G188</f>
        <v>14.97</v>
      </c>
      <c r="H189" s="35">
        <f>+G189-F189</f>
        <v>2.5999999999999801E-2</v>
      </c>
      <c r="I189" s="50">
        <f>+ROUND(IF(H189&gt;0,H189*E187,0),4)</f>
        <v>0</v>
      </c>
      <c r="L189" s="68">
        <f>IFERROR(H189-'Nátok z PRDS'!H189,"N/A")</f>
        <v>2.5999999999999801E-2</v>
      </c>
      <c r="M189" s="68">
        <f>IFERROR(H189-'Distribúcia KS v PMDS'!H189,0)</f>
        <v>2.5999999999999801E-2</v>
      </c>
    </row>
    <row r="190" spans="1:13" x14ac:dyDescent="0.25">
      <c r="A190" s="199" t="s">
        <v>65</v>
      </c>
      <c r="B190" s="200" t="s">
        <v>183</v>
      </c>
      <c r="C190" s="81" t="s">
        <v>162</v>
      </c>
      <c r="D190" s="128" t="s">
        <v>166</v>
      </c>
      <c r="E190" s="61">
        <v>0</v>
      </c>
      <c r="F190" s="39">
        <v>0.17749999999999999</v>
      </c>
      <c r="G190" s="39">
        <v>0.17749999999999999</v>
      </c>
      <c r="H190" s="45">
        <f>+G190-F190</f>
        <v>0</v>
      </c>
      <c r="I190" s="50">
        <f>+ROUND(IF(H190&gt;0,H190*E190,0),4)</f>
        <v>0</v>
      </c>
      <c r="L190" s="68">
        <f>IFERROR(H190-'Nátok z PRDS'!H190,"N/A")</f>
        <v>0</v>
      </c>
      <c r="M190" s="68">
        <f>IFERROR(H190-'Distribúcia KS v PMDS'!H190,0)</f>
        <v>0</v>
      </c>
    </row>
    <row r="191" spans="1:13" x14ac:dyDescent="0.25">
      <c r="A191" s="199"/>
      <c r="B191" s="200"/>
      <c r="C191" s="81" t="s">
        <v>163</v>
      </c>
      <c r="D191" s="221" t="s">
        <v>249</v>
      </c>
      <c r="E191" s="201">
        <v>0</v>
      </c>
      <c r="F191" s="39">
        <v>28.991</v>
      </c>
      <c r="G191" s="39">
        <v>26.620999999999999</v>
      </c>
      <c r="H191" s="45" t="s">
        <v>67</v>
      </c>
      <c r="I191" s="45" t="s">
        <v>67</v>
      </c>
      <c r="L191" s="68" t="str">
        <f>IFERROR(H191-'Nátok z PRDS'!H191,"N/A")</f>
        <v>N/A</v>
      </c>
      <c r="M191" s="68">
        <f>IFERROR(H191-'Distribúcia KS v PMDS'!H191,0)</f>
        <v>0</v>
      </c>
    </row>
    <row r="192" spans="1:13" x14ac:dyDescent="0.25">
      <c r="A192" s="199"/>
      <c r="B192" s="200"/>
      <c r="C192" s="81" t="s">
        <v>164</v>
      </c>
      <c r="D192" s="222"/>
      <c r="E192" s="201"/>
      <c r="F192" s="39">
        <v>5.07</v>
      </c>
      <c r="G192" s="39">
        <v>7.44</v>
      </c>
      <c r="H192" s="45" t="s">
        <v>67</v>
      </c>
      <c r="I192" s="45" t="s">
        <v>67</v>
      </c>
      <c r="L192" s="68" t="str">
        <f>IFERROR(H192-'Nátok z PRDS'!H192,"N/A")</f>
        <v>N/A</v>
      </c>
      <c r="M192" s="68">
        <f>IFERROR(H192-'Distribúcia KS v PMDS'!H192,0)</f>
        <v>0</v>
      </c>
    </row>
    <row r="193" spans="1:13" x14ac:dyDescent="0.25">
      <c r="A193" s="199"/>
      <c r="B193" s="200"/>
      <c r="C193" s="81" t="s">
        <v>168</v>
      </c>
      <c r="D193" s="223"/>
      <c r="E193" s="201"/>
      <c r="F193" s="45">
        <f>+F191+F192</f>
        <v>34.061</v>
      </c>
      <c r="G193" s="45">
        <f t="shared" ref="G193" si="58">+G191+G192</f>
        <v>34.061</v>
      </c>
      <c r="H193" s="45">
        <f>+G193-F193</f>
        <v>0</v>
      </c>
      <c r="I193" s="50">
        <f>+ROUND(IF(H193&gt;0,H193*E191,0),4)</f>
        <v>0</v>
      </c>
      <c r="L193" s="68">
        <f>IFERROR(H193-'Nátok z PRDS'!H193,"N/A")</f>
        <v>0</v>
      </c>
      <c r="M193" s="68">
        <f>IFERROR(H193-'Distribúcia KS v PMDS'!H193,0)</f>
        <v>0</v>
      </c>
    </row>
    <row r="194" spans="1:13" x14ac:dyDescent="0.25">
      <c r="A194" s="226" t="s">
        <v>65</v>
      </c>
      <c r="B194" s="211" t="s">
        <v>201</v>
      </c>
      <c r="C194" s="82" t="s">
        <v>202</v>
      </c>
      <c r="D194" s="129"/>
      <c r="E194" s="62"/>
      <c r="F194" s="46"/>
      <c r="G194" s="46"/>
      <c r="H194" s="36">
        <f>+G194-F194</f>
        <v>0</v>
      </c>
      <c r="I194" s="51">
        <f>ROUND(IF(H194&gt;0,H194*E194,0),4)</f>
        <v>0</v>
      </c>
      <c r="L194" s="68">
        <f>IFERROR(H194-'Nátok z PRDS'!H194,"N/A")</f>
        <v>0</v>
      </c>
      <c r="M194" s="68">
        <f>IFERROR(H194-'Distribúcia KS v PMDS'!H194,0)</f>
        <v>0</v>
      </c>
    </row>
    <row r="195" spans="1:13" x14ac:dyDescent="0.25">
      <c r="A195" s="226"/>
      <c r="B195" s="211"/>
      <c r="C195" s="82" t="s">
        <v>163</v>
      </c>
      <c r="D195" s="221" t="s">
        <v>249</v>
      </c>
      <c r="E195" s="227"/>
      <c r="F195" s="46"/>
      <c r="G195" s="46"/>
      <c r="H195" s="36" t="s">
        <v>67</v>
      </c>
      <c r="I195" s="36" t="s">
        <v>67</v>
      </c>
      <c r="L195" s="68" t="str">
        <f>IFERROR(H195-'Nátok z PRDS'!H195,"N/A")</f>
        <v>N/A</v>
      </c>
      <c r="M195" s="68">
        <f>IFERROR(H195-'Distribúcia KS v PMDS'!H195,0)</f>
        <v>0</v>
      </c>
    </row>
    <row r="196" spans="1:13" x14ac:dyDescent="0.25">
      <c r="A196" s="226"/>
      <c r="B196" s="211"/>
      <c r="C196" s="82" t="s">
        <v>164</v>
      </c>
      <c r="D196" s="222"/>
      <c r="E196" s="227"/>
      <c r="F196" s="46"/>
      <c r="G196" s="46"/>
      <c r="H196" s="36" t="s">
        <v>67</v>
      </c>
      <c r="I196" s="36" t="s">
        <v>67</v>
      </c>
      <c r="L196" s="68" t="str">
        <f>IFERROR(H196-'Nátok z PRDS'!H196,"N/A")</f>
        <v>N/A</v>
      </c>
      <c r="M196" s="68">
        <f>IFERROR(H196-'Distribúcia KS v PMDS'!H196,0)</f>
        <v>0</v>
      </c>
    </row>
    <row r="197" spans="1:13" x14ac:dyDescent="0.25">
      <c r="A197" s="226"/>
      <c r="B197" s="211"/>
      <c r="C197" s="82" t="s">
        <v>168</v>
      </c>
      <c r="D197" s="223"/>
      <c r="E197" s="227"/>
      <c r="F197" s="36">
        <f>+F195+F196</f>
        <v>0</v>
      </c>
      <c r="G197" s="36">
        <f t="shared" ref="G197" si="59">+G195+G196</f>
        <v>0</v>
      </c>
      <c r="H197" s="36">
        <f>+G197-F197</f>
        <v>0</v>
      </c>
      <c r="I197" s="51">
        <f>ROUND(IF(H197&gt;0,H197*E195,0),4)</f>
        <v>0</v>
      </c>
      <c r="L197" s="68">
        <f>IFERROR(H197-'Nátok z PRDS'!H197,"N/A")</f>
        <v>0</v>
      </c>
      <c r="M197" s="68">
        <f>IFERROR(H197-'Distribúcia KS v PMDS'!H197,0)</f>
        <v>0</v>
      </c>
    </row>
    <row r="198" spans="1:13" x14ac:dyDescent="0.25">
      <c r="A198" s="199" t="s">
        <v>65</v>
      </c>
      <c r="B198" s="200" t="s">
        <v>186</v>
      </c>
      <c r="C198" s="81" t="s">
        <v>163</v>
      </c>
      <c r="D198" s="221" t="s">
        <v>249</v>
      </c>
      <c r="E198" s="201">
        <v>0</v>
      </c>
      <c r="F198" s="39">
        <v>22.356999999999999</v>
      </c>
      <c r="G198" s="39">
        <v>22.49</v>
      </c>
      <c r="H198" s="35" t="s">
        <v>67</v>
      </c>
      <c r="I198" s="35" t="s">
        <v>67</v>
      </c>
      <c r="L198" s="68" t="str">
        <f>IFERROR(H198-'Nátok z PRDS'!H198,"N/A")</f>
        <v>N/A</v>
      </c>
      <c r="M198" s="68">
        <f>IFERROR(H198-'Distribúcia KS v PMDS'!H198,0)</f>
        <v>0</v>
      </c>
    </row>
    <row r="199" spans="1:13" x14ac:dyDescent="0.25">
      <c r="A199" s="199"/>
      <c r="B199" s="200"/>
      <c r="C199" s="81" t="s">
        <v>164</v>
      </c>
      <c r="D199" s="222"/>
      <c r="E199" s="201"/>
      <c r="F199" s="39">
        <v>5.07</v>
      </c>
      <c r="G199" s="39">
        <v>7.44</v>
      </c>
      <c r="H199" s="35" t="s">
        <v>67</v>
      </c>
      <c r="I199" s="35" t="s">
        <v>67</v>
      </c>
      <c r="L199" s="68" t="str">
        <f>IFERROR(H199-'Nátok z PRDS'!H199,"N/A")</f>
        <v>N/A</v>
      </c>
      <c r="M199" s="68">
        <f>IFERROR(H199-'Distribúcia KS v PMDS'!H199,0)</f>
        <v>0</v>
      </c>
    </row>
    <row r="200" spans="1:13" x14ac:dyDescent="0.25">
      <c r="A200" s="199"/>
      <c r="B200" s="200"/>
      <c r="C200" s="81" t="s">
        <v>168</v>
      </c>
      <c r="D200" s="223"/>
      <c r="E200" s="201"/>
      <c r="F200" s="35">
        <f>+F198+F199</f>
        <v>27.427</v>
      </c>
      <c r="G200" s="35">
        <f t="shared" ref="G200" si="60">+G198+G199</f>
        <v>29.93</v>
      </c>
      <c r="H200" s="35">
        <f>+G200-F200</f>
        <v>2.5030000000000001</v>
      </c>
      <c r="I200" s="50">
        <f>+ROUND(IF(H200&gt;0,H200*E198,0),4)</f>
        <v>0</v>
      </c>
      <c r="L200" s="68">
        <f>IFERROR(H200-'Nátok z PRDS'!H200,"N/A")</f>
        <v>2.5030000000000001</v>
      </c>
      <c r="M200" s="68">
        <f>IFERROR(H200-'Distribúcia KS v PMDS'!H200,0)</f>
        <v>2.5030000000000001</v>
      </c>
    </row>
    <row r="201" spans="1:13" x14ac:dyDescent="0.25">
      <c r="A201" s="209" t="s">
        <v>65</v>
      </c>
      <c r="B201" s="210" t="s">
        <v>188</v>
      </c>
      <c r="C201" s="109" t="s">
        <v>162</v>
      </c>
      <c r="D201" s="121" t="s">
        <v>67</v>
      </c>
      <c r="E201" s="52" t="s">
        <v>67</v>
      </c>
      <c r="F201" s="52" t="s">
        <v>67</v>
      </c>
      <c r="G201" s="52" t="s">
        <v>67</v>
      </c>
      <c r="H201" s="52" t="s">
        <v>67</v>
      </c>
      <c r="I201" s="52">
        <f>+SUM(I171:I180,I190,I194)</f>
        <v>0</v>
      </c>
      <c r="L201" s="68" t="str">
        <f>IFERROR(H201-'Nátok z PRDS'!H201,"N/A")</f>
        <v>N/A</v>
      </c>
      <c r="M201" s="68">
        <f>IFERROR(H201-'Distribúcia KS v PMDS'!H201,0)</f>
        <v>0</v>
      </c>
    </row>
    <row r="202" spans="1:13" x14ac:dyDescent="0.25">
      <c r="A202" s="209"/>
      <c r="B202" s="210"/>
      <c r="C202" s="109" t="s">
        <v>168</v>
      </c>
      <c r="D202" s="89" t="s">
        <v>249</v>
      </c>
      <c r="E202" s="52">
        <f>+E181+E184+E187+E191+E198+E195</f>
        <v>0</v>
      </c>
      <c r="F202" s="52" t="s">
        <v>67</v>
      </c>
      <c r="G202" s="52" t="s">
        <v>67</v>
      </c>
      <c r="H202" s="52" t="s">
        <v>67</v>
      </c>
      <c r="I202" s="52">
        <f>+I183+I186+I189+I193+I200+I197</f>
        <v>0</v>
      </c>
      <c r="L202" s="68" t="str">
        <f>IFERROR(H202-'Nátok z PRDS'!H202,"N/A")</f>
        <v>N/A</v>
      </c>
      <c r="M202" s="68">
        <f>IFERROR(H202-'Distribúcia KS v PMDS'!H202,0)</f>
        <v>0</v>
      </c>
    </row>
    <row r="203" spans="1:13" x14ac:dyDescent="0.25">
      <c r="A203" s="200" t="s">
        <v>66</v>
      </c>
      <c r="B203" s="200" t="s">
        <v>173</v>
      </c>
      <c r="C203" s="84" t="s">
        <v>203</v>
      </c>
      <c r="D203" s="128" t="s">
        <v>166</v>
      </c>
      <c r="E203" s="61"/>
      <c r="F203" s="39">
        <v>3.0442</v>
      </c>
      <c r="G203" s="39">
        <v>3.0442</v>
      </c>
      <c r="H203" s="35">
        <f t="shared" ref="H203:H211" si="61">+G203-F203</f>
        <v>0</v>
      </c>
      <c r="I203" s="50">
        <f t="shared" ref="I203:I211" si="62">+ROUND(IF(H203&gt;0,H203*E203,0),4)</f>
        <v>0</v>
      </c>
      <c r="L203" s="68">
        <f>IFERROR(H203-'Nátok z PRDS'!H203,"N/A")</f>
        <v>0</v>
      </c>
      <c r="M203" s="68">
        <f>IFERROR(H203-'Distribúcia KS v PMDS'!H203,0)</f>
        <v>0</v>
      </c>
    </row>
    <row r="204" spans="1:13" x14ac:dyDescent="0.25">
      <c r="A204" s="200"/>
      <c r="B204" s="200"/>
      <c r="C204" s="84" t="s">
        <v>204</v>
      </c>
      <c r="D204" s="128" t="s">
        <v>166</v>
      </c>
      <c r="E204" s="61"/>
      <c r="F204" s="39">
        <v>2.6471</v>
      </c>
      <c r="G204" s="39">
        <v>2.6471</v>
      </c>
      <c r="H204" s="35">
        <f t="shared" si="61"/>
        <v>0</v>
      </c>
      <c r="I204" s="50">
        <f t="shared" si="62"/>
        <v>0</v>
      </c>
      <c r="L204" s="68">
        <f>IFERROR(H204-'Nátok z PRDS'!H204,"N/A")</f>
        <v>0</v>
      </c>
      <c r="M204" s="68">
        <f>IFERROR(H204-'Distribúcia KS v PMDS'!H204,0)</f>
        <v>0</v>
      </c>
    </row>
    <row r="205" spans="1:13" x14ac:dyDescent="0.25">
      <c r="A205" s="200"/>
      <c r="B205" s="200"/>
      <c r="C205" s="84" t="s">
        <v>205</v>
      </c>
      <c r="D205" s="128" t="s">
        <v>166</v>
      </c>
      <c r="E205" s="61"/>
      <c r="F205" s="39">
        <v>2.2501000000000002</v>
      </c>
      <c r="G205" s="39">
        <v>2.2501000000000002</v>
      </c>
      <c r="H205" s="35">
        <f t="shared" si="61"/>
        <v>0</v>
      </c>
      <c r="I205" s="50">
        <f t="shared" si="62"/>
        <v>0</v>
      </c>
      <c r="L205" s="68">
        <f>IFERROR(H205-'Nátok z PRDS'!H205,"N/A")</f>
        <v>0</v>
      </c>
      <c r="M205" s="68">
        <f>IFERROR(H205-'Distribúcia KS v PMDS'!H205,0)</f>
        <v>0</v>
      </c>
    </row>
    <row r="206" spans="1:13" ht="24" x14ac:dyDescent="0.25">
      <c r="A206" s="200"/>
      <c r="B206" s="200"/>
      <c r="C206" s="84" t="s">
        <v>213</v>
      </c>
      <c r="D206" s="128" t="s">
        <v>166</v>
      </c>
      <c r="E206" s="61"/>
      <c r="F206" s="39">
        <v>0.45660000000000001</v>
      </c>
      <c r="G206" s="39">
        <v>0.45660000000000001</v>
      </c>
      <c r="H206" s="35">
        <f t="shared" si="61"/>
        <v>0</v>
      </c>
      <c r="I206" s="50">
        <f t="shared" si="62"/>
        <v>0</v>
      </c>
      <c r="L206" s="68">
        <f>IFERROR(H206-'Nátok z PRDS'!H206,"N/A")</f>
        <v>0</v>
      </c>
      <c r="M206" s="68">
        <f>IFERROR(H206-'Distribúcia KS v PMDS'!H206,0)</f>
        <v>0</v>
      </c>
    </row>
    <row r="207" spans="1:13" ht="24" x14ac:dyDescent="0.25">
      <c r="A207" s="200"/>
      <c r="B207" s="200"/>
      <c r="C207" s="84" t="s">
        <v>214</v>
      </c>
      <c r="D207" s="128" t="s">
        <v>166</v>
      </c>
      <c r="E207" s="61"/>
      <c r="F207" s="39">
        <v>0.39710000000000001</v>
      </c>
      <c r="G207" s="39">
        <v>0.39710000000000001</v>
      </c>
      <c r="H207" s="35">
        <f t="shared" si="61"/>
        <v>0</v>
      </c>
      <c r="I207" s="50">
        <f t="shared" si="62"/>
        <v>0</v>
      </c>
      <c r="L207" s="68">
        <f>IFERROR(H207-'Nátok z PRDS'!H207,"N/A")</f>
        <v>0</v>
      </c>
      <c r="M207" s="68">
        <f>IFERROR(H207-'Distribúcia KS v PMDS'!H207,0)</f>
        <v>0</v>
      </c>
    </row>
    <row r="208" spans="1:13" ht="24" x14ac:dyDescent="0.25">
      <c r="A208" s="200"/>
      <c r="B208" s="200"/>
      <c r="C208" s="84" t="s">
        <v>215</v>
      </c>
      <c r="D208" s="128" t="s">
        <v>166</v>
      </c>
      <c r="E208" s="61"/>
      <c r="F208" s="39">
        <v>0.33750000000000002</v>
      </c>
      <c r="G208" s="39">
        <v>0.33750000000000002</v>
      </c>
      <c r="H208" s="35">
        <f t="shared" si="61"/>
        <v>0</v>
      </c>
      <c r="I208" s="50">
        <f t="shared" si="62"/>
        <v>0</v>
      </c>
      <c r="L208" s="68">
        <f>IFERROR(H208-'Nátok z PRDS'!H208,"N/A")</f>
        <v>0</v>
      </c>
      <c r="M208" s="68">
        <f>IFERROR(H208-'Distribúcia KS v PMDS'!H208,0)</f>
        <v>0</v>
      </c>
    </row>
    <row r="209" spans="1:13" x14ac:dyDescent="0.25">
      <c r="A209" s="200"/>
      <c r="B209" s="200"/>
      <c r="C209" s="84" t="s">
        <v>217</v>
      </c>
      <c r="D209" s="128" t="s">
        <v>166</v>
      </c>
      <c r="E209" s="61"/>
      <c r="F209" s="39">
        <v>0.2283</v>
      </c>
      <c r="G209" s="39">
        <v>0.2283</v>
      </c>
      <c r="H209" s="35">
        <f t="shared" si="61"/>
        <v>0</v>
      </c>
      <c r="I209" s="50">
        <f t="shared" si="62"/>
        <v>0</v>
      </c>
      <c r="L209" s="68">
        <f>IFERROR(H209-'Nátok z PRDS'!H209,"N/A")</f>
        <v>0</v>
      </c>
      <c r="M209" s="68">
        <f>IFERROR(H209-'Distribúcia KS v PMDS'!H209,0)</f>
        <v>0</v>
      </c>
    </row>
    <row r="210" spans="1:13" x14ac:dyDescent="0.25">
      <c r="A210" s="200"/>
      <c r="B210" s="200"/>
      <c r="C210" s="84" t="s">
        <v>218</v>
      </c>
      <c r="D210" s="128" t="s">
        <v>166</v>
      </c>
      <c r="E210" s="61"/>
      <c r="F210" s="39">
        <v>0.19850000000000001</v>
      </c>
      <c r="G210" s="39">
        <v>0.19850000000000001</v>
      </c>
      <c r="H210" s="35">
        <f t="shared" si="61"/>
        <v>0</v>
      </c>
      <c r="I210" s="50">
        <f t="shared" si="62"/>
        <v>0</v>
      </c>
      <c r="L210" s="68">
        <f>IFERROR(H210-'Nátok z PRDS'!H210,"N/A")</f>
        <v>0</v>
      </c>
      <c r="M210" s="68">
        <f>IFERROR(H210-'Distribúcia KS v PMDS'!H210,0)</f>
        <v>0</v>
      </c>
    </row>
    <row r="211" spans="1:13" x14ac:dyDescent="0.25">
      <c r="A211" s="200"/>
      <c r="B211" s="200"/>
      <c r="C211" s="84" t="s">
        <v>216</v>
      </c>
      <c r="D211" s="128" t="s">
        <v>166</v>
      </c>
      <c r="E211" s="61"/>
      <c r="F211" s="39">
        <v>0.16880000000000001</v>
      </c>
      <c r="G211" s="39">
        <v>0.16880000000000001</v>
      </c>
      <c r="H211" s="35">
        <f t="shared" si="61"/>
        <v>0</v>
      </c>
      <c r="I211" s="50">
        <f t="shared" si="62"/>
        <v>0</v>
      </c>
      <c r="L211" s="68">
        <f>IFERROR(H211-'Nátok z PRDS'!H211,"N/A")</f>
        <v>0</v>
      </c>
      <c r="M211" s="68">
        <f>IFERROR(H211-'Distribúcia KS v PMDS'!H211,0)</f>
        <v>0</v>
      </c>
    </row>
    <row r="212" spans="1:13" x14ac:dyDescent="0.25">
      <c r="A212" s="200"/>
      <c r="B212" s="200"/>
      <c r="C212" s="81" t="s">
        <v>163</v>
      </c>
      <c r="D212" s="221" t="s">
        <v>249</v>
      </c>
      <c r="E212" s="201">
        <v>0</v>
      </c>
      <c r="F212" s="39">
        <v>9.7080000000000002</v>
      </c>
      <c r="G212" s="39">
        <v>8.02</v>
      </c>
      <c r="H212" s="35" t="s">
        <v>67</v>
      </c>
      <c r="I212" s="35" t="s">
        <v>67</v>
      </c>
      <c r="L212" s="68" t="str">
        <f>IFERROR(H212-'Nátok z PRDS'!H212,"N/A")</f>
        <v>N/A</v>
      </c>
      <c r="M212" s="68">
        <f>IFERROR(H212-'Distribúcia KS v PMDS'!H212,0)</f>
        <v>0</v>
      </c>
    </row>
    <row r="213" spans="1:13" x14ac:dyDescent="0.25">
      <c r="A213" s="200"/>
      <c r="B213" s="200"/>
      <c r="C213" s="81" t="s">
        <v>164</v>
      </c>
      <c r="D213" s="222"/>
      <c r="E213" s="201"/>
      <c r="F213" s="39">
        <v>1.073</v>
      </c>
      <c r="G213" s="39">
        <v>1.575</v>
      </c>
      <c r="H213" s="35" t="s">
        <v>67</v>
      </c>
      <c r="I213" s="35" t="s">
        <v>67</v>
      </c>
      <c r="L213" s="68" t="str">
        <f>IFERROR(H213-'Nátok z PRDS'!H213,"N/A")</f>
        <v>N/A</v>
      </c>
      <c r="M213" s="68">
        <f>IFERROR(H213-'Distribúcia KS v PMDS'!H213,0)</f>
        <v>0</v>
      </c>
    </row>
    <row r="214" spans="1:13" x14ac:dyDescent="0.25">
      <c r="A214" s="200"/>
      <c r="B214" s="200"/>
      <c r="C214" s="81" t="s">
        <v>168</v>
      </c>
      <c r="D214" s="223"/>
      <c r="E214" s="201"/>
      <c r="F214" s="35">
        <f>+F212+F213</f>
        <v>10.781000000000001</v>
      </c>
      <c r="G214" s="35">
        <f t="shared" ref="G214" si="63">+G212+G213</f>
        <v>9.5949999999999989</v>
      </c>
      <c r="H214" s="35">
        <f>+G214-F214</f>
        <v>-1.1860000000000017</v>
      </c>
      <c r="I214" s="50">
        <f>+ROUND(IF(H214&gt;0,H214*E212,0),4)</f>
        <v>0</v>
      </c>
      <c r="L214" s="68">
        <f>IFERROR(H214-'Nátok z PRDS'!H214,"N/A")</f>
        <v>-1.1860000000000017</v>
      </c>
      <c r="M214" s="68">
        <f>IFERROR(H214-'Distribúcia KS v PMDS'!H214,0)</f>
        <v>-1.1860000000000017</v>
      </c>
    </row>
    <row r="215" spans="1:13" x14ac:dyDescent="0.25">
      <c r="A215" s="200"/>
      <c r="B215" s="200"/>
      <c r="C215" s="81" t="s">
        <v>184</v>
      </c>
      <c r="D215" s="221" t="s">
        <v>249</v>
      </c>
      <c r="E215" s="201">
        <v>0</v>
      </c>
      <c r="F215" s="39">
        <v>9.7080000000000002</v>
      </c>
      <c r="G215" s="39">
        <v>7.6189999999999998</v>
      </c>
      <c r="H215" s="35" t="s">
        <v>67</v>
      </c>
      <c r="I215" s="35" t="s">
        <v>67</v>
      </c>
      <c r="L215" s="68" t="str">
        <f>IFERROR(H215-'Nátok z PRDS'!H215,"N/A")</f>
        <v>N/A</v>
      </c>
      <c r="M215" s="68">
        <f>IFERROR(H215-'Distribúcia KS v PMDS'!H215,0)</f>
        <v>0</v>
      </c>
    </row>
    <row r="216" spans="1:13" x14ac:dyDescent="0.25">
      <c r="A216" s="200"/>
      <c r="B216" s="200"/>
      <c r="C216" s="81" t="s">
        <v>164</v>
      </c>
      <c r="D216" s="222"/>
      <c r="E216" s="201"/>
      <c r="F216" s="39">
        <v>1.073</v>
      </c>
      <c r="G216" s="39">
        <v>1.575</v>
      </c>
      <c r="H216" s="35" t="s">
        <v>67</v>
      </c>
      <c r="I216" s="35" t="s">
        <v>67</v>
      </c>
      <c r="L216" s="68" t="str">
        <f>IFERROR(H216-'Nátok z PRDS'!H216,"N/A")</f>
        <v>N/A</v>
      </c>
      <c r="M216" s="68">
        <f>IFERROR(H216-'Distribúcia KS v PMDS'!H216,0)</f>
        <v>0</v>
      </c>
    </row>
    <row r="217" spans="1:13" x14ac:dyDescent="0.25">
      <c r="A217" s="200"/>
      <c r="B217" s="200"/>
      <c r="C217" s="84" t="s">
        <v>219</v>
      </c>
      <c r="D217" s="223"/>
      <c r="E217" s="201"/>
      <c r="F217" s="35">
        <f>+F215+F216</f>
        <v>10.781000000000001</v>
      </c>
      <c r="G217" s="35">
        <f t="shared" ref="G217" si="64">+G215+G216</f>
        <v>9.1939999999999991</v>
      </c>
      <c r="H217" s="35">
        <f>+G217-F217</f>
        <v>-1.5870000000000015</v>
      </c>
      <c r="I217" s="50">
        <f>+ROUND(IF(H217&gt;0,H217*E215,0),4)</f>
        <v>0</v>
      </c>
      <c r="L217" s="68">
        <f>IFERROR(H217-'Nátok z PRDS'!H217,"N/A")</f>
        <v>-1.5870000000000015</v>
      </c>
      <c r="M217" s="68">
        <f>IFERROR(H217-'Distribúcia KS v PMDS'!H217,0)</f>
        <v>-1.5870000000000015</v>
      </c>
    </row>
    <row r="218" spans="1:13" x14ac:dyDescent="0.25">
      <c r="A218" s="200"/>
      <c r="B218" s="200"/>
      <c r="C218" s="81" t="s">
        <v>185</v>
      </c>
      <c r="D218" s="221" t="s">
        <v>249</v>
      </c>
      <c r="E218" s="201">
        <v>0</v>
      </c>
      <c r="F218" s="39">
        <v>9.7080000000000002</v>
      </c>
      <c r="G218" s="39">
        <v>7.218</v>
      </c>
      <c r="H218" s="35" t="s">
        <v>67</v>
      </c>
      <c r="I218" s="35" t="s">
        <v>67</v>
      </c>
      <c r="L218" s="68" t="str">
        <f>IFERROR(H218-'Nátok z PRDS'!H218,"N/A")</f>
        <v>N/A</v>
      </c>
      <c r="M218" s="68">
        <f>IFERROR(H218-'Distribúcia KS v PMDS'!H218,0)</f>
        <v>0</v>
      </c>
    </row>
    <row r="219" spans="1:13" x14ac:dyDescent="0.25">
      <c r="A219" s="200"/>
      <c r="B219" s="200"/>
      <c r="C219" s="81" t="s">
        <v>164</v>
      </c>
      <c r="D219" s="222"/>
      <c r="E219" s="201"/>
      <c r="F219" s="39">
        <v>1.073</v>
      </c>
      <c r="G219" s="39">
        <v>1.575</v>
      </c>
      <c r="H219" s="35" t="s">
        <v>67</v>
      </c>
      <c r="I219" s="35" t="s">
        <v>67</v>
      </c>
      <c r="L219" s="68" t="str">
        <f>IFERROR(H219-'Nátok z PRDS'!H219,"N/A")</f>
        <v>N/A</v>
      </c>
      <c r="M219" s="68">
        <f>IFERROR(H219-'Distribúcia KS v PMDS'!H219,0)</f>
        <v>0</v>
      </c>
    </row>
    <row r="220" spans="1:13" x14ac:dyDescent="0.25">
      <c r="A220" s="200"/>
      <c r="B220" s="200"/>
      <c r="C220" s="84" t="s">
        <v>220</v>
      </c>
      <c r="D220" s="223"/>
      <c r="E220" s="201"/>
      <c r="F220" s="35">
        <f>+F218+F219</f>
        <v>10.781000000000001</v>
      </c>
      <c r="G220" s="35">
        <f t="shared" ref="G220" si="65">+G218+G219</f>
        <v>8.7929999999999993</v>
      </c>
      <c r="H220" s="35">
        <f>+G220-F220</f>
        <v>-1.9880000000000013</v>
      </c>
      <c r="I220" s="50">
        <f>+ROUND(IF(H220&gt;0,H220*E218,0),4)</f>
        <v>0</v>
      </c>
      <c r="L220" s="68">
        <f>IFERROR(H220-'Nátok z PRDS'!H220,"N/A")</f>
        <v>-1.9880000000000013</v>
      </c>
      <c r="M220" s="68">
        <f>IFERROR(H220-'Distribúcia KS v PMDS'!H220,0)</f>
        <v>-1.9880000000000013</v>
      </c>
    </row>
    <row r="221" spans="1:13" x14ac:dyDescent="0.25">
      <c r="A221" s="209" t="s">
        <v>66</v>
      </c>
      <c r="B221" s="210" t="s">
        <v>188</v>
      </c>
      <c r="C221" s="109" t="s">
        <v>162</v>
      </c>
      <c r="D221" s="121" t="s">
        <v>67</v>
      </c>
      <c r="E221" s="52" t="s">
        <v>67</v>
      </c>
      <c r="F221" s="52" t="s">
        <v>67</v>
      </c>
      <c r="G221" s="52" t="s">
        <v>67</v>
      </c>
      <c r="H221" s="52" t="s">
        <v>67</v>
      </c>
      <c r="I221" s="96">
        <f>+SUM(I203:I211)</f>
        <v>0</v>
      </c>
      <c r="K221" t="s">
        <v>271</v>
      </c>
      <c r="L221" s="71">
        <f>SUM(L5:L220)</f>
        <v>43.034199999999991</v>
      </c>
    </row>
    <row r="222" spans="1:13" ht="15.75" thickBot="1" x14ac:dyDescent="0.3">
      <c r="A222" s="209"/>
      <c r="B222" s="210"/>
      <c r="C222" s="110" t="s">
        <v>168</v>
      </c>
      <c r="D222" s="90" t="s">
        <v>249</v>
      </c>
      <c r="E222" s="95">
        <f>+E212+E215+E218</f>
        <v>0</v>
      </c>
      <c r="F222" s="95" t="s">
        <v>67</v>
      </c>
      <c r="G222" s="95" t="s">
        <v>67</v>
      </c>
      <c r="H222" s="95" t="s">
        <v>67</v>
      </c>
      <c r="I222" s="97">
        <f>+I214+I217+I220</f>
        <v>0</v>
      </c>
    </row>
    <row r="223" spans="1:13" ht="15.75" thickBot="1" x14ac:dyDescent="0.3">
      <c r="A223" s="78"/>
      <c r="B223" s="105"/>
      <c r="C223" s="86" t="s">
        <v>258</v>
      </c>
      <c r="D223" s="91"/>
      <c r="E223" s="123" t="s">
        <v>67</v>
      </c>
      <c r="F223" s="123" t="s">
        <v>67</v>
      </c>
      <c r="G223" s="123" t="s">
        <v>67</v>
      </c>
      <c r="H223" s="55" t="s">
        <v>67</v>
      </c>
      <c r="I223" s="56">
        <f>ROUND(SUM(I77:I78,I169:I170,I201:I202,I221:I222),4)</f>
        <v>0</v>
      </c>
    </row>
    <row r="224" spans="1:13" ht="15.75" thickBot="1" x14ac:dyDescent="0.3">
      <c r="A224" s="78"/>
      <c r="B224" s="105"/>
      <c r="C224" s="87" t="s">
        <v>68</v>
      </c>
      <c r="D224" s="92"/>
      <c r="E224" s="124" t="s">
        <v>67</v>
      </c>
      <c r="F224" s="124" t="s">
        <v>67</v>
      </c>
      <c r="G224" s="124" t="s">
        <v>67</v>
      </c>
      <c r="H224" s="53" t="s">
        <v>67</v>
      </c>
      <c r="I224" s="54">
        <f>ROUND(I225-I223,4)</f>
        <v>0</v>
      </c>
    </row>
    <row r="225" spans="1:9" ht="16.5" thickBot="1" x14ac:dyDescent="0.3">
      <c r="A225" s="78"/>
      <c r="B225" s="105"/>
      <c r="C225" s="88" t="s">
        <v>69</v>
      </c>
      <c r="D225" s="93"/>
      <c r="E225" s="125" t="s">
        <v>67</v>
      </c>
      <c r="F225" s="125" t="s">
        <v>67</v>
      </c>
      <c r="G225" s="125" t="s">
        <v>67</v>
      </c>
      <c r="H225" s="59" t="s">
        <v>67</v>
      </c>
      <c r="I225" s="60">
        <f>+ROUND(I223*1.2,4)</f>
        <v>0</v>
      </c>
    </row>
  </sheetData>
  <sheetProtection algorithmName="SHA-512" hashValue="bWYGLOWy+PAwdnlAaFJ2iBPz0WNxnVpuvuK34KL8KBaCSuytigD71eiQwEmGZiDXq6+X+yZK1iNzHEW3hmGwSw==" saltValue="jdZxVnr/O0a7V1qOM0pFsg==" spinCount="100000" sheet="1" selectLockedCells="1"/>
  <mergeCells count="169">
    <mergeCell ref="A221:A222"/>
    <mergeCell ref="B221:B222"/>
    <mergeCell ref="A203:A220"/>
    <mergeCell ref="B203:B220"/>
    <mergeCell ref="D212:D214"/>
    <mergeCell ref="E212:E214"/>
    <mergeCell ref="D215:D217"/>
    <mergeCell ref="E215:E217"/>
    <mergeCell ref="D218:D220"/>
    <mergeCell ref="E218:E220"/>
    <mergeCell ref="A198:A200"/>
    <mergeCell ref="B198:B200"/>
    <mergeCell ref="D198:D200"/>
    <mergeCell ref="E198:E200"/>
    <mergeCell ref="A201:A202"/>
    <mergeCell ref="B201:B202"/>
    <mergeCell ref="A190:A193"/>
    <mergeCell ref="B190:B193"/>
    <mergeCell ref="D191:D193"/>
    <mergeCell ref="E191:E193"/>
    <mergeCell ref="A194:A197"/>
    <mergeCell ref="B194:B197"/>
    <mergeCell ref="D195:D197"/>
    <mergeCell ref="E195:E197"/>
    <mergeCell ref="A169:A170"/>
    <mergeCell ref="B169:B170"/>
    <mergeCell ref="A171:A189"/>
    <mergeCell ref="B171:B189"/>
    <mergeCell ref="D181:D183"/>
    <mergeCell ref="E181:E183"/>
    <mergeCell ref="D184:D186"/>
    <mergeCell ref="E184:E186"/>
    <mergeCell ref="D187:D189"/>
    <mergeCell ref="E187:E189"/>
    <mergeCell ref="A155:A168"/>
    <mergeCell ref="B155:B168"/>
    <mergeCell ref="D157:D159"/>
    <mergeCell ref="E157:E159"/>
    <mergeCell ref="D160:D162"/>
    <mergeCell ref="E160:E162"/>
    <mergeCell ref="D163:D165"/>
    <mergeCell ref="E163:E165"/>
    <mergeCell ref="D166:D168"/>
    <mergeCell ref="E166:E168"/>
    <mergeCell ref="A141:A146"/>
    <mergeCell ref="B141:B146"/>
    <mergeCell ref="D144:D146"/>
    <mergeCell ref="E144:E146"/>
    <mergeCell ref="A147:A154"/>
    <mergeCell ref="B147:B154"/>
    <mergeCell ref="D149:D151"/>
    <mergeCell ref="E149:E151"/>
    <mergeCell ref="D152:D154"/>
    <mergeCell ref="E152:E154"/>
    <mergeCell ref="A134:A135"/>
    <mergeCell ref="B134:B135"/>
    <mergeCell ref="A136:A140"/>
    <mergeCell ref="B136:B140"/>
    <mergeCell ref="D138:D140"/>
    <mergeCell ref="E138:E140"/>
    <mergeCell ref="A126:A133"/>
    <mergeCell ref="B126:B133"/>
    <mergeCell ref="D128:D130"/>
    <mergeCell ref="E128:E130"/>
    <mergeCell ref="D131:D133"/>
    <mergeCell ref="E131:E133"/>
    <mergeCell ref="A118:A125"/>
    <mergeCell ref="B118:B125"/>
    <mergeCell ref="D120:D122"/>
    <mergeCell ref="E120:E122"/>
    <mergeCell ref="D123:D125"/>
    <mergeCell ref="E123:E125"/>
    <mergeCell ref="A110:A117"/>
    <mergeCell ref="B110:B117"/>
    <mergeCell ref="D112:D114"/>
    <mergeCell ref="E112:E114"/>
    <mergeCell ref="D115:D117"/>
    <mergeCell ref="E115:E117"/>
    <mergeCell ref="A102:A109"/>
    <mergeCell ref="B102:B109"/>
    <mergeCell ref="D104:D106"/>
    <mergeCell ref="E104:E106"/>
    <mergeCell ref="D107:D109"/>
    <mergeCell ref="E107:E109"/>
    <mergeCell ref="A94:A101"/>
    <mergeCell ref="B94:B101"/>
    <mergeCell ref="D96:D98"/>
    <mergeCell ref="E96:E98"/>
    <mergeCell ref="D99:D101"/>
    <mergeCell ref="E99:E101"/>
    <mergeCell ref="A84:A88"/>
    <mergeCell ref="B84:B88"/>
    <mergeCell ref="D86:D88"/>
    <mergeCell ref="E86:E88"/>
    <mergeCell ref="A89:A93"/>
    <mergeCell ref="B89:B93"/>
    <mergeCell ref="D91:D93"/>
    <mergeCell ref="E91:E93"/>
    <mergeCell ref="A77:A78"/>
    <mergeCell ref="B77:B78"/>
    <mergeCell ref="A79:A83"/>
    <mergeCell ref="B79:B83"/>
    <mergeCell ref="D81:D83"/>
    <mergeCell ref="E81:E83"/>
    <mergeCell ref="A64:A76"/>
    <mergeCell ref="B64:B76"/>
    <mergeCell ref="D65:D67"/>
    <mergeCell ref="E65:E67"/>
    <mergeCell ref="D68:D70"/>
    <mergeCell ref="E68:E70"/>
    <mergeCell ref="D71:D73"/>
    <mergeCell ref="E71:E73"/>
    <mergeCell ref="D74:D76"/>
    <mergeCell ref="E74:E76"/>
    <mergeCell ref="A57:A63"/>
    <mergeCell ref="B57:B63"/>
    <mergeCell ref="D58:D60"/>
    <mergeCell ref="E58:E60"/>
    <mergeCell ref="D61:D63"/>
    <mergeCell ref="E61:E63"/>
    <mergeCell ref="A50:A56"/>
    <mergeCell ref="B50:B56"/>
    <mergeCell ref="D51:D53"/>
    <mergeCell ref="E51:E53"/>
    <mergeCell ref="D54:D56"/>
    <mergeCell ref="E54:E56"/>
    <mergeCell ref="A43:A49"/>
    <mergeCell ref="B43:B49"/>
    <mergeCell ref="D44:D46"/>
    <mergeCell ref="E44:E46"/>
    <mergeCell ref="D47:D49"/>
    <mergeCell ref="E47:E49"/>
    <mergeCell ref="A36:A42"/>
    <mergeCell ref="B36:B42"/>
    <mergeCell ref="D37:D39"/>
    <mergeCell ref="E37:E39"/>
    <mergeCell ref="D40:D42"/>
    <mergeCell ref="E40:E42"/>
    <mergeCell ref="A29:A35"/>
    <mergeCell ref="B29:B35"/>
    <mergeCell ref="D30:D32"/>
    <mergeCell ref="E30:E32"/>
    <mergeCell ref="D33:D35"/>
    <mergeCell ref="E33:E35"/>
    <mergeCell ref="A21:A28"/>
    <mergeCell ref="B21:B28"/>
    <mergeCell ref="D23:D25"/>
    <mergeCell ref="E23:E25"/>
    <mergeCell ref="D26:D28"/>
    <mergeCell ref="E26:E28"/>
    <mergeCell ref="A9:A13"/>
    <mergeCell ref="B9:B13"/>
    <mergeCell ref="D11:D13"/>
    <mergeCell ref="E11:E13"/>
    <mergeCell ref="A14:A20"/>
    <mergeCell ref="B14:B20"/>
    <mergeCell ref="D15:D17"/>
    <mergeCell ref="E15:E17"/>
    <mergeCell ref="D18:D20"/>
    <mergeCell ref="E18:E20"/>
    <mergeCell ref="A1:I1"/>
    <mergeCell ref="A2:A4"/>
    <mergeCell ref="B2:B4"/>
    <mergeCell ref="C2:C4"/>
    <mergeCell ref="D2:D4"/>
    <mergeCell ref="A5:A8"/>
    <mergeCell ref="B5:B8"/>
    <mergeCell ref="D6:D8"/>
    <mergeCell ref="E6:E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5"/>
  <sheetViews>
    <sheetView workbookViewId="0">
      <selection activeCell="F215" sqref="F215:G216"/>
    </sheetView>
  </sheetViews>
  <sheetFormatPr defaultRowHeight="15" x14ac:dyDescent="0.25"/>
  <cols>
    <col min="1" max="1" width="38.28515625" customWidth="1"/>
    <col min="2" max="2" width="10.42578125" customWidth="1"/>
    <col min="3" max="3" width="53.85546875" customWidth="1"/>
    <col min="4" max="4" width="5.7109375" customWidth="1"/>
    <col min="5" max="5" width="28.5703125" customWidth="1"/>
    <col min="6" max="9" width="21.42578125" customWidth="1"/>
    <col min="11" max="11" width="0" hidden="1" customWidth="1"/>
    <col min="12" max="12" width="45.140625" hidden="1" customWidth="1"/>
  </cols>
  <sheetData>
    <row r="1" spans="1:12" ht="21.75" x14ac:dyDescent="0.25">
      <c r="A1" s="235" t="s">
        <v>242</v>
      </c>
      <c r="B1" s="235"/>
      <c r="C1" s="235"/>
      <c r="D1" s="235"/>
      <c r="E1" s="235"/>
      <c r="F1" s="235"/>
      <c r="G1" s="235"/>
      <c r="H1" s="235"/>
      <c r="I1" s="236"/>
      <c r="K1" s="72" t="s">
        <v>274</v>
      </c>
      <c r="L1" s="72" t="s">
        <v>270</v>
      </c>
    </row>
    <row r="2" spans="1:12" ht="36" customHeight="1" x14ac:dyDescent="0.25">
      <c r="A2" s="204" t="s">
        <v>237</v>
      </c>
      <c r="B2" s="200" t="s">
        <v>170</v>
      </c>
      <c r="C2" s="200" t="s">
        <v>167</v>
      </c>
      <c r="D2" s="237" t="s">
        <v>234</v>
      </c>
      <c r="E2" s="32" t="s">
        <v>247</v>
      </c>
      <c r="F2" s="126" t="s">
        <v>243</v>
      </c>
      <c r="G2" s="126" t="s">
        <v>244</v>
      </c>
      <c r="H2" s="33" t="s">
        <v>266</v>
      </c>
      <c r="I2" s="48" t="s">
        <v>268</v>
      </c>
    </row>
    <row r="3" spans="1:12" ht="15" customHeight="1" x14ac:dyDescent="0.25">
      <c r="A3" s="204"/>
      <c r="B3" s="200"/>
      <c r="C3" s="200"/>
      <c r="D3" s="237"/>
      <c r="E3" s="37" t="s">
        <v>206</v>
      </c>
      <c r="F3" s="34" t="s">
        <v>178</v>
      </c>
      <c r="G3" s="34" t="s">
        <v>178</v>
      </c>
      <c r="H3" s="34" t="s">
        <v>178</v>
      </c>
      <c r="I3" s="49" t="s">
        <v>57</v>
      </c>
    </row>
    <row r="4" spans="1:12" ht="15" customHeight="1" x14ac:dyDescent="0.25">
      <c r="A4" s="204"/>
      <c r="B4" s="200"/>
      <c r="C4" s="200"/>
      <c r="D4" s="237"/>
      <c r="E4" s="34" t="s">
        <v>58</v>
      </c>
      <c r="F4" s="34" t="s">
        <v>59</v>
      </c>
      <c r="G4" s="34" t="s">
        <v>60</v>
      </c>
      <c r="H4" s="34" t="s">
        <v>61</v>
      </c>
      <c r="I4" s="34" t="s">
        <v>62</v>
      </c>
    </row>
    <row r="5" spans="1:12" ht="15" customHeight="1" x14ac:dyDescent="0.25">
      <c r="A5" s="199" t="s">
        <v>63</v>
      </c>
      <c r="B5" s="200" t="s">
        <v>169</v>
      </c>
      <c r="C5" s="81" t="s">
        <v>162</v>
      </c>
      <c r="D5" s="131" t="s">
        <v>236</v>
      </c>
      <c r="E5" s="64"/>
      <c r="F5" s="39">
        <v>1.1200000000000001</v>
      </c>
      <c r="G5" s="39">
        <v>1.1499999999999999</v>
      </c>
      <c r="H5" s="35">
        <f>+G5-F5</f>
        <v>2.9999999999999805E-2</v>
      </c>
      <c r="I5" s="50">
        <f>+ROUND(IF(H5&gt;0,H5*E5,0),4)</f>
        <v>0</v>
      </c>
      <c r="L5" s="68">
        <f>IFERROR(H5-'Nátok z PRDS'!H5,"N/A")</f>
        <v>2.9999999999999805E-2</v>
      </c>
    </row>
    <row r="6" spans="1:12" ht="15" customHeight="1" x14ac:dyDescent="0.25">
      <c r="A6" s="199"/>
      <c r="B6" s="200"/>
      <c r="C6" s="81" t="s">
        <v>163</v>
      </c>
      <c r="D6" s="200" t="s">
        <v>249</v>
      </c>
      <c r="E6" s="238"/>
      <c r="F6" s="39">
        <v>51.05</v>
      </c>
      <c r="G6" s="39">
        <v>42.37</v>
      </c>
      <c r="H6" s="35" t="s">
        <v>67</v>
      </c>
      <c r="I6" s="35" t="s">
        <v>67</v>
      </c>
      <c r="L6" s="68" t="str">
        <f>IFERROR(H6-'Nátok z PRDS'!H6,"N/A")</f>
        <v>N/A</v>
      </c>
    </row>
    <row r="7" spans="1:12" ht="15" customHeight="1" x14ac:dyDescent="0.25">
      <c r="A7" s="199"/>
      <c r="B7" s="200"/>
      <c r="C7" s="81" t="s">
        <v>164</v>
      </c>
      <c r="D7" s="200"/>
      <c r="E7" s="239"/>
      <c r="F7" s="39">
        <v>10.914999999999999</v>
      </c>
      <c r="G7" s="39">
        <v>19.911000000000001</v>
      </c>
      <c r="H7" s="35" t="s">
        <v>67</v>
      </c>
      <c r="I7" s="35" t="s">
        <v>67</v>
      </c>
      <c r="L7" s="68" t="str">
        <f>IFERROR(H7-'Nátok z PRDS'!H7,"N/A")</f>
        <v>N/A</v>
      </c>
    </row>
    <row r="8" spans="1:12" ht="15.75" customHeight="1" thickBot="1" x14ac:dyDescent="0.3">
      <c r="A8" s="199"/>
      <c r="B8" s="200"/>
      <c r="C8" s="81" t="s">
        <v>168</v>
      </c>
      <c r="D8" s="200"/>
      <c r="E8" s="240"/>
      <c r="F8" s="35">
        <f>+F6+F7</f>
        <v>61.964999999999996</v>
      </c>
      <c r="G8" s="35">
        <f t="shared" ref="G8" si="0">+G6+G7</f>
        <v>62.280999999999999</v>
      </c>
      <c r="H8" s="35">
        <f>+G8-F8</f>
        <v>0.3160000000000025</v>
      </c>
      <c r="I8" s="50">
        <f>+ROUND(IF(H8&gt;0,H8*E6,0),4)</f>
        <v>0</v>
      </c>
      <c r="L8" s="68">
        <f>IFERROR(H8-'Nátok z PRDS'!H8,"N/A")</f>
        <v>0.3160000000000025</v>
      </c>
    </row>
    <row r="9" spans="1:12" ht="15" customHeight="1" x14ac:dyDescent="0.25">
      <c r="A9" s="199" t="s">
        <v>63</v>
      </c>
      <c r="B9" s="200" t="s">
        <v>174</v>
      </c>
      <c r="C9" s="81" t="s">
        <v>162</v>
      </c>
      <c r="D9" s="131" t="s">
        <v>236</v>
      </c>
      <c r="E9" s="64"/>
      <c r="F9" s="39">
        <v>6.31</v>
      </c>
      <c r="G9" s="39">
        <v>6.49</v>
      </c>
      <c r="H9" s="35">
        <f>+G9-F9</f>
        <v>0.1800000000000006</v>
      </c>
      <c r="I9" s="50">
        <f t="shared" ref="I9" si="1">+ROUND(IF(H9&gt;0,H9*E9,0),4)</f>
        <v>0</v>
      </c>
      <c r="L9" s="68">
        <f>IFERROR(H9-'Nátok z PRDS'!H9,"N/A")</f>
        <v>0.1800000000000006</v>
      </c>
    </row>
    <row r="10" spans="1:12" ht="15" customHeight="1" x14ac:dyDescent="0.25">
      <c r="A10" s="199"/>
      <c r="B10" s="200"/>
      <c r="C10" s="82" t="s">
        <v>222</v>
      </c>
      <c r="D10" s="131" t="s">
        <v>236</v>
      </c>
      <c r="E10" s="63"/>
      <c r="F10" s="39"/>
      <c r="G10" s="39"/>
      <c r="H10" s="35">
        <f>+G10-F10</f>
        <v>0</v>
      </c>
      <c r="I10" s="50">
        <f>+ROUND(IF(H10&gt;0,H10*E10,0),4)</f>
        <v>0</v>
      </c>
      <c r="L10" s="68">
        <f>IFERROR(H10-'Nátok z PRDS'!H10,"N/A")</f>
        <v>0</v>
      </c>
    </row>
    <row r="11" spans="1:12" ht="15" customHeight="1" x14ac:dyDescent="0.25">
      <c r="A11" s="199"/>
      <c r="B11" s="200"/>
      <c r="C11" s="81" t="s">
        <v>163</v>
      </c>
      <c r="D11" s="200" t="s">
        <v>249</v>
      </c>
      <c r="E11" s="241"/>
      <c r="F11" s="39">
        <v>13.24</v>
      </c>
      <c r="G11" s="39">
        <v>10.74</v>
      </c>
      <c r="H11" s="35" t="s">
        <v>67</v>
      </c>
      <c r="I11" s="35" t="s">
        <v>67</v>
      </c>
      <c r="L11" s="68" t="str">
        <f>IFERROR(H11-'Nátok z PRDS'!H11,"N/A")</f>
        <v>N/A</v>
      </c>
    </row>
    <row r="12" spans="1:12" ht="15" customHeight="1" x14ac:dyDescent="0.25">
      <c r="A12" s="199"/>
      <c r="B12" s="200"/>
      <c r="C12" s="81" t="s">
        <v>164</v>
      </c>
      <c r="D12" s="200"/>
      <c r="E12" s="241"/>
      <c r="F12" s="39">
        <v>10.914999999999999</v>
      </c>
      <c r="G12" s="39">
        <v>19.911000000000001</v>
      </c>
      <c r="H12" s="35" t="s">
        <v>67</v>
      </c>
      <c r="I12" s="35" t="s">
        <v>67</v>
      </c>
      <c r="L12" s="68" t="str">
        <f>IFERROR(H12-'Nátok z PRDS'!H12,"N/A")</f>
        <v>N/A</v>
      </c>
    </row>
    <row r="13" spans="1:12" ht="15" customHeight="1" x14ac:dyDescent="0.25">
      <c r="A13" s="199"/>
      <c r="B13" s="200"/>
      <c r="C13" s="81" t="s">
        <v>168</v>
      </c>
      <c r="D13" s="200"/>
      <c r="E13" s="241"/>
      <c r="F13" s="35">
        <f>+F11+F12</f>
        <v>24.155000000000001</v>
      </c>
      <c r="G13" s="35">
        <f t="shared" ref="G13" si="2">+G11+G12</f>
        <v>30.651000000000003</v>
      </c>
      <c r="H13" s="35">
        <f>+G13-F13</f>
        <v>6.4960000000000022</v>
      </c>
      <c r="I13" s="50">
        <f>+ROUND(IF(H13&gt;0,H13*E11,0),4)</f>
        <v>0</v>
      </c>
      <c r="L13" s="68">
        <f>IFERROR(H13-'Nátok z PRDS'!H13,"N/A")</f>
        <v>6.4960000000000022</v>
      </c>
    </row>
    <row r="14" spans="1:12" ht="15" customHeight="1" x14ac:dyDescent="0.25">
      <c r="A14" s="199" t="s">
        <v>63</v>
      </c>
      <c r="B14" s="200" t="s">
        <v>175</v>
      </c>
      <c r="C14" s="81" t="s">
        <v>162</v>
      </c>
      <c r="D14" s="131" t="s">
        <v>236</v>
      </c>
      <c r="E14" s="64"/>
      <c r="F14" s="39">
        <v>10.87</v>
      </c>
      <c r="G14" s="39">
        <v>11.19</v>
      </c>
      <c r="H14" s="35">
        <f>+G14-F14</f>
        <v>0.32000000000000028</v>
      </c>
      <c r="I14" s="50">
        <f t="shared" ref="I14" si="3">+ROUND(IF(H14&gt;0,H14*E14,0),4)</f>
        <v>0</v>
      </c>
      <c r="L14" s="68">
        <f>IFERROR(H14-'Nátok z PRDS'!H14,"N/A")</f>
        <v>0.32000000000000028</v>
      </c>
    </row>
    <row r="15" spans="1:12" ht="15" customHeight="1" x14ac:dyDescent="0.25">
      <c r="A15" s="199"/>
      <c r="B15" s="200"/>
      <c r="C15" s="81" t="s">
        <v>179</v>
      </c>
      <c r="D15" s="200" t="s">
        <v>249</v>
      </c>
      <c r="E15" s="241"/>
      <c r="F15" s="39">
        <v>4.32</v>
      </c>
      <c r="G15" s="39">
        <v>3.5</v>
      </c>
      <c r="H15" s="35" t="s">
        <v>67</v>
      </c>
      <c r="I15" s="35" t="s">
        <v>67</v>
      </c>
      <c r="L15" s="68" t="str">
        <f>IFERROR(H15-'Nátok z PRDS'!H15,"N/A")</f>
        <v>N/A</v>
      </c>
    </row>
    <row r="16" spans="1:12" ht="15" customHeight="1" x14ac:dyDescent="0.25">
      <c r="A16" s="199"/>
      <c r="B16" s="200"/>
      <c r="C16" s="81" t="s">
        <v>164</v>
      </c>
      <c r="D16" s="200"/>
      <c r="E16" s="241"/>
      <c r="F16" s="39">
        <v>10.914999999999999</v>
      </c>
      <c r="G16" s="39">
        <v>19.911000000000001</v>
      </c>
      <c r="H16" s="35" t="s">
        <v>67</v>
      </c>
      <c r="I16" s="35" t="s">
        <v>67</v>
      </c>
      <c r="L16" s="68" t="str">
        <f>IFERROR(H16-'Nátok z PRDS'!H16,"N/A")</f>
        <v>N/A</v>
      </c>
    </row>
    <row r="17" spans="1:12" ht="15" customHeight="1" x14ac:dyDescent="0.25">
      <c r="A17" s="199"/>
      <c r="B17" s="200"/>
      <c r="C17" s="81" t="s">
        <v>182</v>
      </c>
      <c r="D17" s="200"/>
      <c r="E17" s="241"/>
      <c r="F17" s="35">
        <f>+F15+F16</f>
        <v>15.234999999999999</v>
      </c>
      <c r="G17" s="35">
        <f t="shared" ref="G17" si="4">+G15+G16</f>
        <v>23.411000000000001</v>
      </c>
      <c r="H17" s="35">
        <f>+G17-F17</f>
        <v>8.1760000000000019</v>
      </c>
      <c r="I17" s="50">
        <f>+ROUND(IF(H17&gt;0,H17*E15,0),4)</f>
        <v>0</v>
      </c>
      <c r="L17" s="68">
        <f>IFERROR(H17-'Nátok z PRDS'!H17,"N/A")</f>
        <v>8.1760000000000019</v>
      </c>
    </row>
    <row r="18" spans="1:12" ht="15" customHeight="1" x14ac:dyDescent="0.25">
      <c r="A18" s="199"/>
      <c r="B18" s="200"/>
      <c r="C18" s="81" t="s">
        <v>180</v>
      </c>
      <c r="D18" s="200" t="s">
        <v>249</v>
      </c>
      <c r="E18" s="241"/>
      <c r="F18" s="39">
        <v>0.65</v>
      </c>
      <c r="G18" s="39">
        <v>0.53</v>
      </c>
      <c r="H18" s="35" t="s">
        <v>67</v>
      </c>
      <c r="I18" s="35" t="s">
        <v>67</v>
      </c>
      <c r="L18" s="68" t="str">
        <f>IFERROR(H18-'Nátok z PRDS'!H18,"N/A")</f>
        <v>N/A</v>
      </c>
    </row>
    <row r="19" spans="1:12" ht="15" customHeight="1" x14ac:dyDescent="0.25">
      <c r="A19" s="199"/>
      <c r="B19" s="200"/>
      <c r="C19" s="81" t="s">
        <v>164</v>
      </c>
      <c r="D19" s="200"/>
      <c r="E19" s="241"/>
      <c r="F19" s="39">
        <v>10.914999999999999</v>
      </c>
      <c r="G19" s="39">
        <v>19.911000000000001</v>
      </c>
      <c r="H19" s="35" t="s">
        <v>67</v>
      </c>
      <c r="I19" s="35" t="s">
        <v>67</v>
      </c>
      <c r="L19" s="68" t="str">
        <f>IFERROR(H19-'Nátok z PRDS'!H19,"N/A")</f>
        <v>N/A</v>
      </c>
    </row>
    <row r="20" spans="1:12" ht="15" customHeight="1" x14ac:dyDescent="0.25">
      <c r="A20" s="199"/>
      <c r="B20" s="200"/>
      <c r="C20" s="81" t="s">
        <v>181</v>
      </c>
      <c r="D20" s="200"/>
      <c r="E20" s="241"/>
      <c r="F20" s="35">
        <f>+F18+F19</f>
        <v>11.565</v>
      </c>
      <c r="G20" s="35">
        <f t="shared" ref="G20" si="5">+G18+G19</f>
        <v>20.441000000000003</v>
      </c>
      <c r="H20" s="35">
        <f>+G20-F20</f>
        <v>8.876000000000003</v>
      </c>
      <c r="I20" s="50">
        <f>+ROUND(IF(H20&gt;0,H20*E18,0),4)</f>
        <v>0</v>
      </c>
      <c r="L20" s="68">
        <f>IFERROR(H20-'Nátok z PRDS'!H20,"N/A")</f>
        <v>8.876000000000003</v>
      </c>
    </row>
    <row r="21" spans="1:12" ht="15" customHeight="1" x14ac:dyDescent="0.25">
      <c r="A21" s="199" t="s">
        <v>63</v>
      </c>
      <c r="B21" s="200" t="s">
        <v>176</v>
      </c>
      <c r="C21" s="81" t="s">
        <v>162</v>
      </c>
      <c r="D21" s="131" t="s">
        <v>236</v>
      </c>
      <c r="E21" s="64"/>
      <c r="F21" s="39">
        <v>6.65</v>
      </c>
      <c r="G21" s="39">
        <v>6.84</v>
      </c>
      <c r="H21" s="35">
        <f>+G21-F21</f>
        <v>0.1899999999999995</v>
      </c>
      <c r="I21" s="50">
        <f t="shared" ref="I21:I22" si="6">+ROUND(IF(H21&gt;0,H21*E21,0),4)</f>
        <v>0</v>
      </c>
      <c r="L21" s="68">
        <f>IFERROR(H21-'Nátok z PRDS'!H21,"N/A")</f>
        <v>0.1899999999999995</v>
      </c>
    </row>
    <row r="22" spans="1:12" ht="15" customHeight="1" x14ac:dyDescent="0.25">
      <c r="A22" s="199"/>
      <c r="B22" s="200"/>
      <c r="C22" s="81" t="s">
        <v>222</v>
      </c>
      <c r="D22" s="131" t="s">
        <v>236</v>
      </c>
      <c r="E22" s="63"/>
      <c r="F22" s="39"/>
      <c r="G22" s="39"/>
      <c r="H22" s="35">
        <f>+G22-F22</f>
        <v>0</v>
      </c>
      <c r="I22" s="50">
        <f t="shared" si="6"/>
        <v>0</v>
      </c>
      <c r="L22" s="68">
        <f>IFERROR(H22-'Nátok z PRDS'!H22,"N/A")</f>
        <v>0</v>
      </c>
    </row>
    <row r="23" spans="1:12" ht="15" customHeight="1" x14ac:dyDescent="0.25">
      <c r="A23" s="199"/>
      <c r="B23" s="200"/>
      <c r="C23" s="81" t="s">
        <v>179</v>
      </c>
      <c r="D23" s="200" t="s">
        <v>249</v>
      </c>
      <c r="E23" s="241"/>
      <c r="F23" s="39">
        <v>24.78</v>
      </c>
      <c r="G23" s="39">
        <v>20.100000000000001</v>
      </c>
      <c r="H23" s="35" t="s">
        <v>67</v>
      </c>
      <c r="I23" s="35" t="s">
        <v>67</v>
      </c>
      <c r="L23" s="68" t="str">
        <f>IFERROR(H23-'Nátok z PRDS'!H23,"N/A")</f>
        <v>N/A</v>
      </c>
    </row>
    <row r="24" spans="1:12" ht="15" customHeight="1" x14ac:dyDescent="0.25">
      <c r="A24" s="199"/>
      <c r="B24" s="200"/>
      <c r="C24" s="81" t="s">
        <v>164</v>
      </c>
      <c r="D24" s="200"/>
      <c r="E24" s="241"/>
      <c r="F24" s="39">
        <v>10.914999999999999</v>
      </c>
      <c r="G24" s="39">
        <v>19.911000000000001</v>
      </c>
      <c r="H24" s="35" t="s">
        <v>67</v>
      </c>
      <c r="I24" s="35" t="s">
        <v>67</v>
      </c>
      <c r="L24" s="68" t="str">
        <f>IFERROR(H24-'Nátok z PRDS'!H24,"N/A")</f>
        <v>N/A</v>
      </c>
    </row>
    <row r="25" spans="1:12" ht="15" customHeight="1" x14ac:dyDescent="0.25">
      <c r="A25" s="199"/>
      <c r="B25" s="200"/>
      <c r="C25" s="81" t="s">
        <v>182</v>
      </c>
      <c r="D25" s="200"/>
      <c r="E25" s="241"/>
      <c r="F25" s="35">
        <f>+F23+F24</f>
        <v>35.695</v>
      </c>
      <c r="G25" s="35">
        <f>+G23+G24</f>
        <v>40.011000000000003</v>
      </c>
      <c r="H25" s="35">
        <f>+G25-F25</f>
        <v>4.3160000000000025</v>
      </c>
      <c r="I25" s="50">
        <f>+ROUND(IF(H25&gt;0,H25*E23,0),4)</f>
        <v>0</v>
      </c>
      <c r="L25" s="68">
        <f>IFERROR(H25-'Nátok z PRDS'!H25,"N/A")</f>
        <v>4.3160000000000025</v>
      </c>
    </row>
    <row r="26" spans="1:12" ht="15" customHeight="1" x14ac:dyDescent="0.25">
      <c r="A26" s="199"/>
      <c r="B26" s="200"/>
      <c r="C26" s="81" t="s">
        <v>180</v>
      </c>
      <c r="D26" s="200" t="s">
        <v>249</v>
      </c>
      <c r="E26" s="241"/>
      <c r="F26" s="39">
        <v>6.03</v>
      </c>
      <c r="G26" s="39">
        <v>4.8899999999999997</v>
      </c>
      <c r="H26" s="35" t="s">
        <v>67</v>
      </c>
      <c r="I26" s="35" t="s">
        <v>67</v>
      </c>
      <c r="L26" s="68" t="str">
        <f>IFERROR(H26-'Nátok z PRDS'!H26,"N/A")</f>
        <v>N/A</v>
      </c>
    </row>
    <row r="27" spans="1:12" ht="15" customHeight="1" x14ac:dyDescent="0.25">
      <c r="A27" s="199"/>
      <c r="B27" s="200"/>
      <c r="C27" s="81" t="s">
        <v>164</v>
      </c>
      <c r="D27" s="200"/>
      <c r="E27" s="241"/>
      <c r="F27" s="39">
        <v>10.914999999999999</v>
      </c>
      <c r="G27" s="39">
        <v>19.911000000000001</v>
      </c>
      <c r="H27" s="35" t="s">
        <v>67</v>
      </c>
      <c r="I27" s="35" t="s">
        <v>67</v>
      </c>
      <c r="L27" s="68" t="str">
        <f>IFERROR(H27-'Nátok z PRDS'!H27,"N/A")</f>
        <v>N/A</v>
      </c>
    </row>
    <row r="28" spans="1:12" ht="15" customHeight="1" x14ac:dyDescent="0.25">
      <c r="A28" s="199"/>
      <c r="B28" s="200"/>
      <c r="C28" s="81" t="s">
        <v>181</v>
      </c>
      <c r="D28" s="200"/>
      <c r="E28" s="241"/>
      <c r="F28" s="35">
        <f>+F26+F27</f>
        <v>16.945</v>
      </c>
      <c r="G28" s="35">
        <f t="shared" ref="G28" si="7">+G26+G27</f>
        <v>24.801000000000002</v>
      </c>
      <c r="H28" s="35">
        <f>+G28-F28</f>
        <v>7.8560000000000016</v>
      </c>
      <c r="I28" s="50">
        <f>+ROUND(IF(H28&gt;0,H28*E26,0),4)</f>
        <v>0</v>
      </c>
      <c r="L28" s="68">
        <f>IFERROR(H28-'Nátok z PRDS'!H28,"N/A")</f>
        <v>7.8560000000000016</v>
      </c>
    </row>
    <row r="29" spans="1:12" ht="15" customHeight="1" x14ac:dyDescent="0.25">
      <c r="A29" s="199" t="s">
        <v>63</v>
      </c>
      <c r="B29" s="200" t="s">
        <v>177</v>
      </c>
      <c r="C29" s="81" t="s">
        <v>162</v>
      </c>
      <c r="D29" s="131" t="s">
        <v>236</v>
      </c>
      <c r="E29" s="64"/>
      <c r="F29" s="39">
        <v>10.3</v>
      </c>
      <c r="G29" s="39">
        <v>10.6</v>
      </c>
      <c r="H29" s="35">
        <f>+G29-F29</f>
        <v>0.29999999999999893</v>
      </c>
      <c r="I29" s="50">
        <f t="shared" ref="I29" si="8">+ROUND(IF(H29&gt;0,H29*E29,0),4)</f>
        <v>0</v>
      </c>
      <c r="L29" s="68">
        <f>IFERROR(H29-'Nátok z PRDS'!H29,"N/A")</f>
        <v>0.29999999999999893</v>
      </c>
    </row>
    <row r="30" spans="1:12" ht="15" customHeight="1" x14ac:dyDescent="0.25">
      <c r="A30" s="199"/>
      <c r="B30" s="200"/>
      <c r="C30" s="81" t="s">
        <v>179</v>
      </c>
      <c r="D30" s="200" t="s">
        <v>249</v>
      </c>
      <c r="E30" s="241"/>
      <c r="F30" s="39">
        <v>0.65</v>
      </c>
      <c r="G30" s="39">
        <v>0.53</v>
      </c>
      <c r="H30" s="35" t="s">
        <v>67</v>
      </c>
      <c r="I30" s="35" t="s">
        <v>67</v>
      </c>
      <c r="L30" s="68" t="str">
        <f>IFERROR(H30-'Nátok z PRDS'!H30,"N/A")</f>
        <v>N/A</v>
      </c>
    </row>
    <row r="31" spans="1:12" ht="15" customHeight="1" x14ac:dyDescent="0.25">
      <c r="A31" s="199"/>
      <c r="B31" s="200"/>
      <c r="C31" s="81" t="s">
        <v>164</v>
      </c>
      <c r="D31" s="200"/>
      <c r="E31" s="241"/>
      <c r="F31" s="39">
        <v>10.914999999999999</v>
      </c>
      <c r="G31" s="39">
        <v>19.911000000000001</v>
      </c>
      <c r="H31" s="35" t="s">
        <v>67</v>
      </c>
      <c r="I31" s="35" t="s">
        <v>67</v>
      </c>
      <c r="L31" s="68" t="str">
        <f>IFERROR(H31-'Nátok z PRDS'!H31,"N/A")</f>
        <v>N/A</v>
      </c>
    </row>
    <row r="32" spans="1:12" ht="15" customHeight="1" x14ac:dyDescent="0.25">
      <c r="A32" s="199"/>
      <c r="B32" s="200"/>
      <c r="C32" s="81" t="s">
        <v>182</v>
      </c>
      <c r="D32" s="200"/>
      <c r="E32" s="241"/>
      <c r="F32" s="35">
        <f>+F30+F31</f>
        <v>11.565</v>
      </c>
      <c r="G32" s="35">
        <f t="shared" ref="G32" si="9">+G30+G31</f>
        <v>20.441000000000003</v>
      </c>
      <c r="H32" s="35">
        <f>+G32-F32</f>
        <v>8.876000000000003</v>
      </c>
      <c r="I32" s="50">
        <f>+ROUND(IF(H32&gt;0,H32*E30,0),4)</f>
        <v>0</v>
      </c>
      <c r="L32" s="68">
        <f>IFERROR(H32-'Nátok z PRDS'!H32,"N/A")</f>
        <v>8.876000000000003</v>
      </c>
    </row>
    <row r="33" spans="1:12" ht="15" customHeight="1" x14ac:dyDescent="0.25">
      <c r="A33" s="199"/>
      <c r="B33" s="200"/>
      <c r="C33" s="81" t="s">
        <v>180</v>
      </c>
      <c r="D33" s="200" t="s">
        <v>249</v>
      </c>
      <c r="E33" s="241"/>
      <c r="F33" s="39">
        <v>0.65</v>
      </c>
      <c r="G33" s="39">
        <v>0.53</v>
      </c>
      <c r="H33" s="35" t="s">
        <v>67</v>
      </c>
      <c r="I33" s="35" t="s">
        <v>67</v>
      </c>
      <c r="L33" s="68" t="str">
        <f>IFERROR(H33-'Nátok z PRDS'!H33,"N/A")</f>
        <v>N/A</v>
      </c>
    </row>
    <row r="34" spans="1:12" ht="15" customHeight="1" x14ac:dyDescent="0.25">
      <c r="A34" s="199"/>
      <c r="B34" s="200"/>
      <c r="C34" s="81" t="s">
        <v>164</v>
      </c>
      <c r="D34" s="200"/>
      <c r="E34" s="241"/>
      <c r="F34" s="39">
        <v>10.914999999999999</v>
      </c>
      <c r="G34" s="39">
        <v>19.911000000000001</v>
      </c>
      <c r="H34" s="35" t="s">
        <v>67</v>
      </c>
      <c r="I34" s="35" t="s">
        <v>67</v>
      </c>
      <c r="L34" s="68" t="str">
        <f>IFERROR(H34-'Nátok z PRDS'!H34,"N/A")</f>
        <v>N/A</v>
      </c>
    </row>
    <row r="35" spans="1:12" ht="15" customHeight="1" x14ac:dyDescent="0.25">
      <c r="A35" s="199"/>
      <c r="B35" s="200"/>
      <c r="C35" s="81" t="s">
        <v>181</v>
      </c>
      <c r="D35" s="200"/>
      <c r="E35" s="241"/>
      <c r="F35" s="35">
        <f>+F33+F34</f>
        <v>11.565</v>
      </c>
      <c r="G35" s="35">
        <f t="shared" ref="G35" si="10">+G33+G34</f>
        <v>20.441000000000003</v>
      </c>
      <c r="H35" s="35">
        <f>+G35-F35</f>
        <v>8.876000000000003</v>
      </c>
      <c r="I35" s="50">
        <f>+ROUND(IF(H35&gt;0,H35*E33,0),4)</f>
        <v>0</v>
      </c>
      <c r="L35" s="68">
        <f>IFERROR(H35-'Nátok z PRDS'!H35,"N/A")</f>
        <v>8.876000000000003</v>
      </c>
    </row>
    <row r="36" spans="1:12" ht="15" customHeight="1" x14ac:dyDescent="0.25">
      <c r="A36" s="199" t="s">
        <v>63</v>
      </c>
      <c r="B36" s="200" t="s">
        <v>200</v>
      </c>
      <c r="C36" s="81" t="s">
        <v>162</v>
      </c>
      <c r="D36" s="131" t="s">
        <v>236</v>
      </c>
      <c r="E36" s="64"/>
      <c r="F36" s="39">
        <v>10.3</v>
      </c>
      <c r="G36" s="39">
        <v>10.6</v>
      </c>
      <c r="H36" s="35">
        <f>+G36-F36</f>
        <v>0.29999999999999893</v>
      </c>
      <c r="I36" s="50">
        <f t="shared" ref="I36" si="11">+ROUND(IF(H36&gt;0,H36*E36,0),4)</f>
        <v>0</v>
      </c>
      <c r="L36" s="68">
        <f>IFERROR(H36-'Nátok z PRDS'!H36,"N/A")</f>
        <v>0.29999999999999893</v>
      </c>
    </row>
    <row r="37" spans="1:12" ht="15" customHeight="1" x14ac:dyDescent="0.25">
      <c r="A37" s="199"/>
      <c r="B37" s="200"/>
      <c r="C37" s="81" t="s">
        <v>179</v>
      </c>
      <c r="D37" s="200" t="s">
        <v>249</v>
      </c>
      <c r="E37" s="241"/>
      <c r="F37" s="39">
        <v>0.65</v>
      </c>
      <c r="G37" s="39">
        <v>0.53</v>
      </c>
      <c r="H37" s="35" t="s">
        <v>67</v>
      </c>
      <c r="I37" s="35" t="s">
        <v>67</v>
      </c>
      <c r="L37" s="68" t="str">
        <f>IFERROR(H37-'Nátok z PRDS'!H37,"N/A")</f>
        <v>N/A</v>
      </c>
    </row>
    <row r="38" spans="1:12" ht="15" customHeight="1" x14ac:dyDescent="0.25">
      <c r="A38" s="199"/>
      <c r="B38" s="200"/>
      <c r="C38" s="81" t="s">
        <v>164</v>
      </c>
      <c r="D38" s="200"/>
      <c r="E38" s="241"/>
      <c r="F38" s="39">
        <v>10.914999999999999</v>
      </c>
      <c r="G38" s="39">
        <v>19.911000000000001</v>
      </c>
      <c r="H38" s="35" t="s">
        <v>67</v>
      </c>
      <c r="I38" s="35" t="s">
        <v>67</v>
      </c>
      <c r="L38" s="68" t="str">
        <f>IFERROR(H38-'Nátok z PRDS'!H38,"N/A")</f>
        <v>N/A</v>
      </c>
    </row>
    <row r="39" spans="1:12" ht="15" customHeight="1" x14ac:dyDescent="0.25">
      <c r="A39" s="199"/>
      <c r="B39" s="200"/>
      <c r="C39" s="81" t="s">
        <v>182</v>
      </c>
      <c r="D39" s="200"/>
      <c r="E39" s="241"/>
      <c r="F39" s="35">
        <f>+F37+F38</f>
        <v>11.565</v>
      </c>
      <c r="G39" s="35">
        <f t="shared" ref="G39" si="12">+G37+G38</f>
        <v>20.441000000000003</v>
      </c>
      <c r="H39" s="35">
        <f>+G39-F39</f>
        <v>8.876000000000003</v>
      </c>
      <c r="I39" s="50">
        <f>+ROUND(IF(H39&gt;0,H39*E37,0),4)</f>
        <v>0</v>
      </c>
      <c r="L39" s="68">
        <f>IFERROR(H39-'Nátok z PRDS'!H39,"N/A")</f>
        <v>8.876000000000003</v>
      </c>
    </row>
    <row r="40" spans="1:12" ht="15" customHeight="1" x14ac:dyDescent="0.25">
      <c r="A40" s="199"/>
      <c r="B40" s="200"/>
      <c r="C40" s="81" t="s">
        <v>180</v>
      </c>
      <c r="D40" s="200" t="s">
        <v>249</v>
      </c>
      <c r="E40" s="241"/>
      <c r="F40" s="39">
        <v>0.65</v>
      </c>
      <c r="G40" s="39">
        <v>0.53</v>
      </c>
      <c r="H40" s="35" t="s">
        <v>67</v>
      </c>
      <c r="I40" s="35" t="s">
        <v>67</v>
      </c>
      <c r="L40" s="68" t="str">
        <f>IFERROR(H40-'Nátok z PRDS'!H40,"N/A")</f>
        <v>N/A</v>
      </c>
    </row>
    <row r="41" spans="1:12" ht="15" customHeight="1" x14ac:dyDescent="0.25">
      <c r="A41" s="199"/>
      <c r="B41" s="200"/>
      <c r="C41" s="81" t="s">
        <v>164</v>
      </c>
      <c r="D41" s="200"/>
      <c r="E41" s="241"/>
      <c r="F41" s="39">
        <v>10.914999999999999</v>
      </c>
      <c r="G41" s="39">
        <v>19.911000000000001</v>
      </c>
      <c r="H41" s="35" t="s">
        <v>67</v>
      </c>
      <c r="I41" s="35" t="s">
        <v>67</v>
      </c>
      <c r="L41" s="68" t="str">
        <f>IFERROR(H41-'Nátok z PRDS'!H41,"N/A")</f>
        <v>N/A</v>
      </c>
    </row>
    <row r="42" spans="1:12" ht="15" customHeight="1" x14ac:dyDescent="0.25">
      <c r="A42" s="199"/>
      <c r="B42" s="200"/>
      <c r="C42" s="81" t="s">
        <v>181</v>
      </c>
      <c r="D42" s="200"/>
      <c r="E42" s="241"/>
      <c r="F42" s="35">
        <f>+F40+F41</f>
        <v>11.565</v>
      </c>
      <c r="G42" s="35">
        <f t="shared" ref="G42" si="13">+G40+G41</f>
        <v>20.441000000000003</v>
      </c>
      <c r="H42" s="35">
        <f>+G42-F42</f>
        <v>8.876000000000003</v>
      </c>
      <c r="I42" s="50">
        <f>+ROUND(IF(H42&gt;0,H42*E40,0),4)</f>
        <v>0</v>
      </c>
      <c r="L42" s="68">
        <f>IFERROR(H42-'Nátok z PRDS'!H42,"N/A")</f>
        <v>8.876000000000003</v>
      </c>
    </row>
    <row r="43" spans="1:12" ht="15" customHeight="1" x14ac:dyDescent="0.25">
      <c r="A43" s="199" t="s">
        <v>63</v>
      </c>
      <c r="B43" s="200" t="s">
        <v>199</v>
      </c>
      <c r="C43" s="81" t="s">
        <v>162</v>
      </c>
      <c r="D43" s="131" t="s">
        <v>236</v>
      </c>
      <c r="E43" s="64"/>
      <c r="F43" s="39">
        <v>1.1200000000000001</v>
      </c>
      <c r="G43" s="39">
        <v>1.1499999999999999</v>
      </c>
      <c r="H43" s="35">
        <f>+G43-F43</f>
        <v>2.9999999999999805E-2</v>
      </c>
      <c r="I43" s="50">
        <f>+ROUND(IF(H43&gt;0,H43*E43,0),4)</f>
        <v>0</v>
      </c>
      <c r="L43" s="68">
        <f>IFERROR(H43-'Nátok z PRDS'!H43,"N/A")</f>
        <v>2.9999999999999805E-2</v>
      </c>
    </row>
    <row r="44" spans="1:12" ht="15" customHeight="1" x14ac:dyDescent="0.25">
      <c r="A44" s="199"/>
      <c r="B44" s="200"/>
      <c r="C44" s="81" t="s">
        <v>179</v>
      </c>
      <c r="D44" s="200" t="s">
        <v>249</v>
      </c>
      <c r="E44" s="241"/>
      <c r="F44" s="39">
        <v>51.05</v>
      </c>
      <c r="G44" s="39">
        <v>42.37</v>
      </c>
      <c r="H44" s="35" t="s">
        <v>67</v>
      </c>
      <c r="I44" s="35" t="s">
        <v>67</v>
      </c>
      <c r="L44" s="68" t="str">
        <f>IFERROR(H44-'Nátok z PRDS'!H44,"N/A")</f>
        <v>N/A</v>
      </c>
    </row>
    <row r="45" spans="1:12" ht="15" customHeight="1" x14ac:dyDescent="0.25">
      <c r="A45" s="199"/>
      <c r="B45" s="200"/>
      <c r="C45" s="81" t="s">
        <v>164</v>
      </c>
      <c r="D45" s="200"/>
      <c r="E45" s="241"/>
      <c r="F45" s="39">
        <v>10.914999999999999</v>
      </c>
      <c r="G45" s="39">
        <v>19.911000000000001</v>
      </c>
      <c r="H45" s="35" t="s">
        <v>67</v>
      </c>
      <c r="I45" s="35" t="s">
        <v>67</v>
      </c>
      <c r="L45" s="68" t="str">
        <f>IFERROR(H45-'Nátok z PRDS'!H45,"N/A")</f>
        <v>N/A</v>
      </c>
    </row>
    <row r="46" spans="1:12" ht="15" customHeight="1" x14ac:dyDescent="0.25">
      <c r="A46" s="199"/>
      <c r="B46" s="200"/>
      <c r="C46" s="81" t="s">
        <v>182</v>
      </c>
      <c r="D46" s="200"/>
      <c r="E46" s="241"/>
      <c r="F46" s="35">
        <f>+F44+F45</f>
        <v>61.964999999999996</v>
      </c>
      <c r="G46" s="35">
        <f t="shared" ref="G46" si="14">+G44+G45</f>
        <v>62.280999999999999</v>
      </c>
      <c r="H46" s="35">
        <f>+G46-F46</f>
        <v>0.3160000000000025</v>
      </c>
      <c r="I46" s="50">
        <f>+ROUND(IF(H46&gt;0,H46*E44,0),4)</f>
        <v>0</v>
      </c>
      <c r="L46" s="68">
        <f>IFERROR(H46-'Nátok z PRDS'!H46,"N/A")</f>
        <v>0.3160000000000025</v>
      </c>
    </row>
    <row r="47" spans="1:12" ht="15" customHeight="1" x14ac:dyDescent="0.25">
      <c r="A47" s="199"/>
      <c r="B47" s="200"/>
      <c r="C47" s="81" t="s">
        <v>180</v>
      </c>
      <c r="D47" s="200" t="s">
        <v>249</v>
      </c>
      <c r="E47" s="241"/>
      <c r="F47" s="39">
        <v>51.05</v>
      </c>
      <c r="G47" s="39">
        <v>42.37</v>
      </c>
      <c r="H47" s="35" t="s">
        <v>67</v>
      </c>
      <c r="I47" s="35" t="s">
        <v>67</v>
      </c>
      <c r="L47" s="68" t="str">
        <f>IFERROR(H47-'Nátok z PRDS'!H47,"N/A")</f>
        <v>N/A</v>
      </c>
    </row>
    <row r="48" spans="1:12" ht="15" customHeight="1" x14ac:dyDescent="0.25">
      <c r="A48" s="199"/>
      <c r="B48" s="200"/>
      <c r="C48" s="81" t="s">
        <v>164</v>
      </c>
      <c r="D48" s="200"/>
      <c r="E48" s="241"/>
      <c r="F48" s="39">
        <v>10.914999999999999</v>
      </c>
      <c r="G48" s="39">
        <v>19.911000000000001</v>
      </c>
      <c r="H48" s="35" t="s">
        <v>67</v>
      </c>
      <c r="I48" s="35" t="s">
        <v>67</v>
      </c>
      <c r="L48" s="68" t="str">
        <f>IFERROR(H48-'Nátok z PRDS'!H48,"N/A")</f>
        <v>N/A</v>
      </c>
    </row>
    <row r="49" spans="1:12" ht="15" customHeight="1" x14ac:dyDescent="0.25">
      <c r="A49" s="199"/>
      <c r="B49" s="200"/>
      <c r="C49" s="81" t="s">
        <v>181</v>
      </c>
      <c r="D49" s="200"/>
      <c r="E49" s="241"/>
      <c r="F49" s="35">
        <f>+F47+F48</f>
        <v>61.964999999999996</v>
      </c>
      <c r="G49" s="35">
        <f t="shared" ref="G49" si="15">+G47+G48</f>
        <v>62.280999999999999</v>
      </c>
      <c r="H49" s="35">
        <f>+G49-F49</f>
        <v>0.3160000000000025</v>
      </c>
      <c r="I49" s="50">
        <f>+ROUND(IF(H49&gt;0,H49*E47,0),4)</f>
        <v>0</v>
      </c>
      <c r="L49" s="68">
        <f>IFERROR(H49-'Nátok z PRDS'!H49,"N/A")</f>
        <v>0.3160000000000025</v>
      </c>
    </row>
    <row r="50" spans="1:12" ht="15" customHeight="1" x14ac:dyDescent="0.25">
      <c r="A50" s="199" t="s">
        <v>63</v>
      </c>
      <c r="B50" s="200" t="s">
        <v>198</v>
      </c>
      <c r="C50" s="81" t="s">
        <v>162</v>
      </c>
      <c r="D50" s="131" t="s">
        <v>236</v>
      </c>
      <c r="E50" s="64"/>
      <c r="F50" s="39">
        <v>6.65</v>
      </c>
      <c r="G50" s="39">
        <v>6.84</v>
      </c>
      <c r="H50" s="35">
        <f>+G50-F50</f>
        <v>0.1899999999999995</v>
      </c>
      <c r="I50" s="50">
        <f>+ROUND(IF(H50&gt;0,H50*E50,0),4)</f>
        <v>0</v>
      </c>
      <c r="L50" s="68">
        <f>IFERROR(H50-'Nátok z PRDS'!H50,"N/A")</f>
        <v>0.1899999999999995</v>
      </c>
    </row>
    <row r="51" spans="1:12" ht="15" customHeight="1" x14ac:dyDescent="0.25">
      <c r="A51" s="199"/>
      <c r="B51" s="200"/>
      <c r="C51" s="81" t="s">
        <v>179</v>
      </c>
      <c r="D51" s="200" t="s">
        <v>249</v>
      </c>
      <c r="E51" s="241"/>
      <c r="F51" s="39">
        <v>0.65</v>
      </c>
      <c r="G51" s="39">
        <v>0.53</v>
      </c>
      <c r="H51" s="35" t="s">
        <v>67</v>
      </c>
      <c r="I51" s="35" t="s">
        <v>67</v>
      </c>
      <c r="L51" s="68" t="str">
        <f>IFERROR(H51-'Nátok z PRDS'!H51,"N/A")</f>
        <v>N/A</v>
      </c>
    </row>
    <row r="52" spans="1:12" ht="15" customHeight="1" x14ac:dyDescent="0.25">
      <c r="A52" s="199"/>
      <c r="B52" s="200"/>
      <c r="C52" s="81" t="s">
        <v>164</v>
      </c>
      <c r="D52" s="200"/>
      <c r="E52" s="241"/>
      <c r="F52" s="39">
        <v>10.914999999999999</v>
      </c>
      <c r="G52" s="39">
        <v>19.911000000000001</v>
      </c>
      <c r="H52" s="35" t="s">
        <v>67</v>
      </c>
      <c r="I52" s="35" t="s">
        <v>67</v>
      </c>
      <c r="L52" s="68" t="str">
        <f>IFERROR(H52-'Nátok z PRDS'!H52,"N/A")</f>
        <v>N/A</v>
      </c>
    </row>
    <row r="53" spans="1:12" ht="15" customHeight="1" x14ac:dyDescent="0.25">
      <c r="A53" s="199"/>
      <c r="B53" s="200"/>
      <c r="C53" s="81" t="s">
        <v>182</v>
      </c>
      <c r="D53" s="200"/>
      <c r="E53" s="241"/>
      <c r="F53" s="35">
        <f>+F51+F52</f>
        <v>11.565</v>
      </c>
      <c r="G53" s="35">
        <f t="shared" ref="G53" si="16">+G51+G52</f>
        <v>20.441000000000003</v>
      </c>
      <c r="H53" s="35">
        <f>+G53-F53</f>
        <v>8.876000000000003</v>
      </c>
      <c r="I53" s="50">
        <f>+ROUND(IF(H53&gt;0,H53*E51,0),4)</f>
        <v>0</v>
      </c>
      <c r="L53" s="68">
        <f>IFERROR(H53-'Nátok z PRDS'!H53,"N/A")</f>
        <v>8.876000000000003</v>
      </c>
    </row>
    <row r="54" spans="1:12" ht="15" customHeight="1" x14ac:dyDescent="0.25">
      <c r="A54" s="199"/>
      <c r="B54" s="200"/>
      <c r="C54" s="81" t="s">
        <v>180</v>
      </c>
      <c r="D54" s="200" t="s">
        <v>249</v>
      </c>
      <c r="E54" s="241"/>
      <c r="F54" s="39">
        <v>0.65</v>
      </c>
      <c r="G54" s="39">
        <v>0.53</v>
      </c>
      <c r="H54" s="35" t="s">
        <v>67</v>
      </c>
      <c r="I54" s="35" t="s">
        <v>67</v>
      </c>
      <c r="L54" s="68" t="str">
        <f>IFERROR(H54-'Nátok z PRDS'!H54,"N/A")</f>
        <v>N/A</v>
      </c>
    </row>
    <row r="55" spans="1:12" ht="15" customHeight="1" x14ac:dyDescent="0.25">
      <c r="A55" s="199"/>
      <c r="B55" s="200"/>
      <c r="C55" s="81" t="s">
        <v>164</v>
      </c>
      <c r="D55" s="200"/>
      <c r="E55" s="241"/>
      <c r="F55" s="39">
        <v>10.914999999999999</v>
      </c>
      <c r="G55" s="39">
        <v>19.911000000000001</v>
      </c>
      <c r="H55" s="35" t="s">
        <v>67</v>
      </c>
      <c r="I55" s="35" t="s">
        <v>67</v>
      </c>
      <c r="L55" s="68" t="str">
        <f>IFERROR(H55-'Nátok z PRDS'!H55,"N/A")</f>
        <v>N/A</v>
      </c>
    </row>
    <row r="56" spans="1:12" ht="15" customHeight="1" x14ac:dyDescent="0.25">
      <c r="A56" s="199"/>
      <c r="B56" s="200"/>
      <c r="C56" s="81" t="s">
        <v>181</v>
      </c>
      <c r="D56" s="200"/>
      <c r="E56" s="241"/>
      <c r="F56" s="35">
        <f>+F54+F55</f>
        <v>11.565</v>
      </c>
      <c r="G56" s="35">
        <f t="shared" ref="G56" si="17">+G54+G55</f>
        <v>20.441000000000003</v>
      </c>
      <c r="H56" s="35">
        <f>+G56-F56</f>
        <v>8.876000000000003</v>
      </c>
      <c r="I56" s="50">
        <f>+ROUND(IF(H56&gt;0,H56*E54,0),4)</f>
        <v>0</v>
      </c>
      <c r="L56" s="68">
        <f>IFERROR(H56-'Nátok z PRDS'!H56,"N/A")</f>
        <v>8.876000000000003</v>
      </c>
    </row>
    <row r="57" spans="1:12" ht="15" customHeight="1" x14ac:dyDescent="0.25">
      <c r="A57" s="199" t="s">
        <v>63</v>
      </c>
      <c r="B57" s="200" t="s">
        <v>224</v>
      </c>
      <c r="C57" s="81" t="s">
        <v>162</v>
      </c>
      <c r="D57" s="131" t="s">
        <v>236</v>
      </c>
      <c r="E57" s="63"/>
      <c r="F57" s="39"/>
      <c r="G57" s="39"/>
      <c r="H57" s="35">
        <f>+G57-F57</f>
        <v>0</v>
      </c>
      <c r="I57" s="50">
        <f t="shared" ref="I57" si="18">+ROUND(IF(H57&gt;0,H57*E57,0),4)</f>
        <v>0</v>
      </c>
      <c r="L57" s="68">
        <f>IFERROR(H57-'Nátok z PRDS'!H57,"N/A")</f>
        <v>0</v>
      </c>
    </row>
    <row r="58" spans="1:12" ht="15" customHeight="1" x14ac:dyDescent="0.25">
      <c r="A58" s="199"/>
      <c r="B58" s="200"/>
      <c r="C58" s="81" t="s">
        <v>179</v>
      </c>
      <c r="D58" s="200" t="s">
        <v>249</v>
      </c>
      <c r="E58" s="242"/>
      <c r="F58" s="39"/>
      <c r="G58" s="39"/>
      <c r="H58" s="35" t="s">
        <v>67</v>
      </c>
      <c r="I58" s="35" t="s">
        <v>67</v>
      </c>
      <c r="L58" s="68" t="str">
        <f>IFERROR(H58-'Nátok z PRDS'!H58,"N/A")</f>
        <v>N/A</v>
      </c>
    </row>
    <row r="59" spans="1:12" ht="15" customHeight="1" x14ac:dyDescent="0.25">
      <c r="A59" s="199"/>
      <c r="B59" s="200"/>
      <c r="C59" s="81" t="s">
        <v>164</v>
      </c>
      <c r="D59" s="200"/>
      <c r="E59" s="242"/>
      <c r="F59" s="39"/>
      <c r="G59" s="39"/>
      <c r="H59" s="35" t="s">
        <v>67</v>
      </c>
      <c r="I59" s="35" t="s">
        <v>67</v>
      </c>
      <c r="L59" s="68" t="str">
        <f>IFERROR(H59-'Nátok z PRDS'!H59,"N/A")</f>
        <v>N/A</v>
      </c>
    </row>
    <row r="60" spans="1:12" ht="15" customHeight="1" x14ac:dyDescent="0.25">
      <c r="A60" s="199"/>
      <c r="B60" s="200"/>
      <c r="C60" s="81" t="s">
        <v>182</v>
      </c>
      <c r="D60" s="200"/>
      <c r="E60" s="242"/>
      <c r="F60" s="35">
        <f>+F58+F59</f>
        <v>0</v>
      </c>
      <c r="G60" s="35">
        <f t="shared" ref="G60" si="19">+G58+G59</f>
        <v>0</v>
      </c>
      <c r="H60" s="35">
        <f>+G60-F60</f>
        <v>0</v>
      </c>
      <c r="I60" s="50">
        <f>+ROUND(IF(H60&gt;0,H60*E58,0),4)</f>
        <v>0</v>
      </c>
      <c r="L60" s="68">
        <f>IFERROR(H60-'Nátok z PRDS'!H60,"N/A")</f>
        <v>0</v>
      </c>
    </row>
    <row r="61" spans="1:12" ht="15" customHeight="1" x14ac:dyDescent="0.25">
      <c r="A61" s="199"/>
      <c r="B61" s="200"/>
      <c r="C61" s="81" t="s">
        <v>180</v>
      </c>
      <c r="D61" s="200" t="s">
        <v>249</v>
      </c>
      <c r="E61" s="243"/>
      <c r="F61" s="39"/>
      <c r="G61" s="39"/>
      <c r="H61" s="35" t="s">
        <v>67</v>
      </c>
      <c r="I61" s="35" t="s">
        <v>67</v>
      </c>
      <c r="L61" s="68" t="str">
        <f>IFERROR(H61-'Nátok z PRDS'!H61,"N/A")</f>
        <v>N/A</v>
      </c>
    </row>
    <row r="62" spans="1:12" ht="15" customHeight="1" x14ac:dyDescent="0.25">
      <c r="A62" s="199"/>
      <c r="B62" s="200"/>
      <c r="C62" s="81" t="s">
        <v>164</v>
      </c>
      <c r="D62" s="200"/>
      <c r="E62" s="243"/>
      <c r="F62" s="39"/>
      <c r="G62" s="39"/>
      <c r="H62" s="35" t="s">
        <v>67</v>
      </c>
      <c r="I62" s="35" t="s">
        <v>67</v>
      </c>
      <c r="L62" s="68" t="str">
        <f>IFERROR(H62-'Nátok z PRDS'!H62,"N/A")</f>
        <v>N/A</v>
      </c>
    </row>
    <row r="63" spans="1:12" ht="15" customHeight="1" x14ac:dyDescent="0.25">
      <c r="A63" s="199"/>
      <c r="B63" s="200"/>
      <c r="C63" s="81" t="s">
        <v>181</v>
      </c>
      <c r="D63" s="200"/>
      <c r="E63" s="243"/>
      <c r="F63" s="35">
        <f>+F61+F62</f>
        <v>0</v>
      </c>
      <c r="G63" s="35">
        <f t="shared" ref="G63" si="20">+G61+G62</f>
        <v>0</v>
      </c>
      <c r="H63" s="35">
        <f>+G63-F63</f>
        <v>0</v>
      </c>
      <c r="I63" s="50">
        <f>+ROUND(IF(H63&gt;0,H63*E61,0),4)</f>
        <v>0</v>
      </c>
      <c r="L63" s="68">
        <f>IFERROR(H63-'Nátok z PRDS'!H63,"N/A")</f>
        <v>0</v>
      </c>
    </row>
    <row r="64" spans="1:12" ht="15" customHeight="1" x14ac:dyDescent="0.25">
      <c r="A64" s="199" t="s">
        <v>235</v>
      </c>
      <c r="B64" s="200" t="s">
        <v>225</v>
      </c>
      <c r="C64" s="81" t="s">
        <v>162</v>
      </c>
      <c r="D64" s="131" t="s">
        <v>236</v>
      </c>
      <c r="E64" s="63"/>
      <c r="F64" s="39"/>
      <c r="G64" s="39"/>
      <c r="H64" s="35">
        <f>+G64-F64</f>
        <v>0</v>
      </c>
      <c r="I64" s="50">
        <f t="shared" ref="I64" si="21">+ROUND(IF(H64&gt;0,H64*E64,0),4)</f>
        <v>0</v>
      </c>
      <c r="L64" s="68">
        <f>IFERROR(H64-'Nátok z PRDS'!H64,"N/A")</f>
        <v>0</v>
      </c>
    </row>
    <row r="65" spans="1:12" ht="15" customHeight="1" x14ac:dyDescent="0.25">
      <c r="A65" s="199"/>
      <c r="B65" s="200"/>
      <c r="C65" s="81" t="s">
        <v>226</v>
      </c>
      <c r="D65" s="200" t="s">
        <v>249</v>
      </c>
      <c r="E65" s="242"/>
      <c r="F65" s="39"/>
      <c r="G65" s="39"/>
      <c r="H65" s="35" t="s">
        <v>67</v>
      </c>
      <c r="I65" s="35" t="s">
        <v>67</v>
      </c>
      <c r="L65" s="68" t="str">
        <f>IFERROR(H65-'Nátok z PRDS'!H65,"N/A")</f>
        <v>N/A</v>
      </c>
    </row>
    <row r="66" spans="1:12" ht="15" customHeight="1" x14ac:dyDescent="0.25">
      <c r="A66" s="199"/>
      <c r="B66" s="200"/>
      <c r="C66" s="81" t="s">
        <v>164</v>
      </c>
      <c r="D66" s="200"/>
      <c r="E66" s="242"/>
      <c r="F66" s="39"/>
      <c r="G66" s="39"/>
      <c r="H66" s="35" t="s">
        <v>67</v>
      </c>
      <c r="I66" s="35" t="s">
        <v>67</v>
      </c>
      <c r="L66" s="68" t="str">
        <f>IFERROR(H66-'Nátok z PRDS'!H66,"N/A")</f>
        <v>N/A</v>
      </c>
    </row>
    <row r="67" spans="1:12" ht="15" customHeight="1" x14ac:dyDescent="0.25">
      <c r="A67" s="199"/>
      <c r="B67" s="200"/>
      <c r="C67" s="81" t="s">
        <v>227</v>
      </c>
      <c r="D67" s="200"/>
      <c r="E67" s="242"/>
      <c r="F67" s="35">
        <f>+F65+F66</f>
        <v>0</v>
      </c>
      <c r="G67" s="35">
        <f t="shared" ref="G67" si="22">+G65+G66</f>
        <v>0</v>
      </c>
      <c r="H67" s="35">
        <f>+G67-F67</f>
        <v>0</v>
      </c>
      <c r="I67" s="50">
        <f>+ROUND(IF(H67&gt;0,H67*E65,0),4)</f>
        <v>0</v>
      </c>
      <c r="L67" s="68">
        <f>IFERROR(H67-'Nátok z PRDS'!H67,"N/A")</f>
        <v>0</v>
      </c>
    </row>
    <row r="68" spans="1:12" ht="15" customHeight="1" x14ac:dyDescent="0.25">
      <c r="A68" s="199"/>
      <c r="B68" s="200"/>
      <c r="C68" s="81" t="s">
        <v>179</v>
      </c>
      <c r="D68" s="200" t="s">
        <v>249</v>
      </c>
      <c r="E68" s="242"/>
      <c r="F68" s="39"/>
      <c r="G68" s="39"/>
      <c r="H68" s="35" t="s">
        <v>67</v>
      </c>
      <c r="I68" s="35" t="s">
        <v>67</v>
      </c>
      <c r="L68" s="68" t="str">
        <f>IFERROR(H68-'Nátok z PRDS'!H68,"N/A")</f>
        <v>N/A</v>
      </c>
    </row>
    <row r="69" spans="1:12" ht="15" customHeight="1" x14ac:dyDescent="0.25">
      <c r="A69" s="199"/>
      <c r="B69" s="200"/>
      <c r="C69" s="81" t="s">
        <v>164</v>
      </c>
      <c r="D69" s="200"/>
      <c r="E69" s="242"/>
      <c r="F69" s="39"/>
      <c r="G69" s="39"/>
      <c r="H69" s="35" t="s">
        <v>67</v>
      </c>
      <c r="I69" s="35" t="s">
        <v>67</v>
      </c>
      <c r="L69" s="68" t="str">
        <f>IFERROR(H69-'Nátok z PRDS'!H69,"N/A")</f>
        <v>N/A</v>
      </c>
    </row>
    <row r="70" spans="1:12" ht="15" customHeight="1" x14ac:dyDescent="0.25">
      <c r="A70" s="199"/>
      <c r="B70" s="200"/>
      <c r="C70" s="81" t="s">
        <v>182</v>
      </c>
      <c r="D70" s="200"/>
      <c r="E70" s="242"/>
      <c r="F70" s="35">
        <f>+F68+F69</f>
        <v>0</v>
      </c>
      <c r="G70" s="35">
        <f t="shared" ref="G70" si="23">+G68+G69</f>
        <v>0</v>
      </c>
      <c r="H70" s="35">
        <f>+G70-F70</f>
        <v>0</v>
      </c>
      <c r="I70" s="50">
        <f>+ROUND(IF(H70&gt;0,H70*E68,0),4)</f>
        <v>0</v>
      </c>
      <c r="L70" s="68">
        <f>IFERROR(H70-'Nátok z PRDS'!H70,"N/A")</f>
        <v>0</v>
      </c>
    </row>
    <row r="71" spans="1:12" ht="15" customHeight="1" x14ac:dyDescent="0.25">
      <c r="A71" s="199"/>
      <c r="B71" s="200"/>
      <c r="C71" s="81" t="s">
        <v>180</v>
      </c>
      <c r="D71" s="200" t="s">
        <v>249</v>
      </c>
      <c r="E71" s="243"/>
      <c r="F71" s="39"/>
      <c r="G71" s="39"/>
      <c r="H71" s="35" t="s">
        <v>67</v>
      </c>
      <c r="I71" s="35" t="s">
        <v>67</v>
      </c>
      <c r="L71" s="68" t="str">
        <f>IFERROR(H71-'Nátok z PRDS'!H71,"N/A")</f>
        <v>N/A</v>
      </c>
    </row>
    <row r="72" spans="1:12" ht="15" customHeight="1" x14ac:dyDescent="0.25">
      <c r="A72" s="199"/>
      <c r="B72" s="200"/>
      <c r="C72" s="81" t="s">
        <v>164</v>
      </c>
      <c r="D72" s="200"/>
      <c r="E72" s="243"/>
      <c r="F72" s="39"/>
      <c r="G72" s="39"/>
      <c r="H72" s="35" t="s">
        <v>67</v>
      </c>
      <c r="I72" s="35" t="s">
        <v>67</v>
      </c>
      <c r="L72" s="68" t="str">
        <f>IFERROR(H72-'Nátok z PRDS'!H72,"N/A")</f>
        <v>N/A</v>
      </c>
    </row>
    <row r="73" spans="1:12" ht="15" customHeight="1" x14ac:dyDescent="0.25">
      <c r="A73" s="199"/>
      <c r="B73" s="200"/>
      <c r="C73" s="81" t="s">
        <v>181</v>
      </c>
      <c r="D73" s="200"/>
      <c r="E73" s="243"/>
      <c r="F73" s="35">
        <f>+F71+F72</f>
        <v>0</v>
      </c>
      <c r="G73" s="35">
        <f t="shared" ref="G73" si="24">+G71+G72</f>
        <v>0</v>
      </c>
      <c r="H73" s="35">
        <f>+G73-F73</f>
        <v>0</v>
      </c>
      <c r="I73" s="50">
        <f>+ROUND(IF(H73&gt;0,H73*E71,0),4)</f>
        <v>0</v>
      </c>
      <c r="L73" s="68">
        <f>IFERROR(H73-'Nátok z PRDS'!H73,"N/A")</f>
        <v>0</v>
      </c>
    </row>
    <row r="74" spans="1:12" ht="15" customHeight="1" x14ac:dyDescent="0.25">
      <c r="A74" s="199"/>
      <c r="B74" s="200"/>
      <c r="C74" s="81" t="s">
        <v>228</v>
      </c>
      <c r="D74" s="200" t="s">
        <v>249</v>
      </c>
      <c r="E74" s="243"/>
      <c r="F74" s="39"/>
      <c r="G74" s="39"/>
      <c r="H74" s="35" t="s">
        <v>67</v>
      </c>
      <c r="I74" s="35" t="s">
        <v>67</v>
      </c>
      <c r="L74" s="68" t="str">
        <f>IFERROR(H74-'Nátok z PRDS'!H74,"N/A")</f>
        <v>N/A</v>
      </c>
    </row>
    <row r="75" spans="1:12" ht="15" customHeight="1" x14ac:dyDescent="0.25">
      <c r="A75" s="199"/>
      <c r="B75" s="200"/>
      <c r="C75" s="81" t="s">
        <v>164</v>
      </c>
      <c r="D75" s="200"/>
      <c r="E75" s="243"/>
      <c r="F75" s="39"/>
      <c r="G75" s="39"/>
      <c r="H75" s="35" t="s">
        <v>67</v>
      </c>
      <c r="I75" s="35" t="s">
        <v>67</v>
      </c>
      <c r="L75" s="68" t="str">
        <f>IFERROR(H75-'Nátok z PRDS'!H75,"N/A")</f>
        <v>N/A</v>
      </c>
    </row>
    <row r="76" spans="1:12" ht="15" customHeight="1" x14ac:dyDescent="0.25">
      <c r="A76" s="199"/>
      <c r="B76" s="200"/>
      <c r="C76" s="81" t="s">
        <v>229</v>
      </c>
      <c r="D76" s="200"/>
      <c r="E76" s="243"/>
      <c r="F76" s="35">
        <f>+F74+F75</f>
        <v>0</v>
      </c>
      <c r="G76" s="35">
        <f t="shared" ref="G76" si="25">+G74+G75</f>
        <v>0</v>
      </c>
      <c r="H76" s="35">
        <f>+G76-F76</f>
        <v>0</v>
      </c>
      <c r="I76" s="50">
        <f>+ROUND(IF(H76&gt;0,H76*E74,0),4)</f>
        <v>0</v>
      </c>
      <c r="L76" s="68">
        <f>IFERROR(H76-'Nátok z PRDS'!H76,"N/A")</f>
        <v>0</v>
      </c>
    </row>
    <row r="77" spans="1:12" x14ac:dyDescent="0.25">
      <c r="A77" s="209" t="s">
        <v>63</v>
      </c>
      <c r="B77" s="210" t="s">
        <v>188</v>
      </c>
      <c r="C77" s="109" t="s">
        <v>162</v>
      </c>
      <c r="D77" s="121" t="s">
        <v>67</v>
      </c>
      <c r="E77" s="122" t="s">
        <v>67</v>
      </c>
      <c r="F77" s="52" t="s">
        <v>67</v>
      </c>
      <c r="G77" s="52" t="s">
        <v>67</v>
      </c>
      <c r="H77" s="52" t="s">
        <v>67</v>
      </c>
      <c r="I77" s="52">
        <f>+I5+I9+I10+I14+I21+I22+I29+I36+I43+I50+I57+I64</f>
        <v>0</v>
      </c>
      <c r="L77" s="68" t="str">
        <f>IFERROR(H77-'Nátok z PRDS'!H77,"N/A")</f>
        <v>N/A</v>
      </c>
    </row>
    <row r="78" spans="1:12" x14ac:dyDescent="0.25">
      <c r="A78" s="209"/>
      <c r="B78" s="210"/>
      <c r="C78" s="109" t="s">
        <v>168</v>
      </c>
      <c r="D78" s="121"/>
      <c r="E78" s="65">
        <f>SUM(E6,E11,E15,E18,E23,E26,E30,E33,E37,E40,E44,E47,E51,E54,E58,E61,E65,E68,E71,E74)</f>
        <v>0</v>
      </c>
      <c r="F78" s="52" t="s">
        <v>67</v>
      </c>
      <c r="G78" s="52" t="s">
        <v>67</v>
      </c>
      <c r="H78" s="52" t="s">
        <v>67</v>
      </c>
      <c r="I78" s="52">
        <f>+I8+I13+I17+I20+I25+I28+I32+I35+I39+I42+I46+I49+I53+I56+I60+I63+I67+I70+I73+I76</f>
        <v>0</v>
      </c>
      <c r="L78" s="68" t="str">
        <f>IFERROR(H78-'Nátok z PRDS'!H78,"N/A")</f>
        <v>N/A</v>
      </c>
    </row>
    <row r="79" spans="1:12" ht="15" customHeight="1" x14ac:dyDescent="0.25">
      <c r="A79" s="199" t="s">
        <v>64</v>
      </c>
      <c r="B79" s="200" t="s">
        <v>197</v>
      </c>
      <c r="C79" s="81" t="s">
        <v>230</v>
      </c>
      <c r="D79" s="128" t="s">
        <v>165</v>
      </c>
      <c r="E79" s="64"/>
      <c r="F79" s="39">
        <v>6.7799999999999999E-2</v>
      </c>
      <c r="G79" s="39">
        <v>8.14E-2</v>
      </c>
      <c r="H79" s="35">
        <f>+G79-F79</f>
        <v>1.3600000000000001E-2</v>
      </c>
      <c r="I79" s="50">
        <f>+ROUND(IF(H79&gt;0,H79*E79,0),4)</f>
        <v>0</v>
      </c>
      <c r="L79" s="68">
        <f>IFERROR(H79-'Nátok z PRDS'!H79,"N/A")</f>
        <v>1.3600000000000001E-2</v>
      </c>
    </row>
    <row r="80" spans="1:12" ht="15" customHeight="1" x14ac:dyDescent="0.25">
      <c r="A80" s="199"/>
      <c r="B80" s="200"/>
      <c r="C80" s="81" t="s">
        <v>231</v>
      </c>
      <c r="D80" s="128" t="s">
        <v>166</v>
      </c>
      <c r="E80" s="64"/>
      <c r="F80" s="39">
        <v>0.31030000000000002</v>
      </c>
      <c r="G80" s="39">
        <v>0.3725</v>
      </c>
      <c r="H80" s="35">
        <f>+G80-F80</f>
        <v>6.2199999999999978E-2</v>
      </c>
      <c r="I80" s="50">
        <f>+ROUND(IF(H80&gt;0,H80*E80,0),4)</f>
        <v>0</v>
      </c>
      <c r="L80" s="68">
        <f>IFERROR(H80-'Nátok z PRDS'!H80,"N/A")</f>
        <v>6.2199999999999978E-2</v>
      </c>
    </row>
    <row r="81" spans="1:12" ht="15" customHeight="1" x14ac:dyDescent="0.25">
      <c r="A81" s="199"/>
      <c r="B81" s="200"/>
      <c r="C81" s="81" t="s">
        <v>163</v>
      </c>
      <c r="D81" s="200" t="s">
        <v>249</v>
      </c>
      <c r="E81" s="241"/>
      <c r="F81" s="39">
        <v>59.269999999999996</v>
      </c>
      <c r="G81" s="39">
        <v>59.269999999999996</v>
      </c>
      <c r="H81" s="35" t="s">
        <v>67</v>
      </c>
      <c r="I81" s="35" t="s">
        <v>67</v>
      </c>
      <c r="L81" s="68" t="str">
        <f>IFERROR(H81-'Nátok z PRDS'!H81,"N/A")</f>
        <v>N/A</v>
      </c>
    </row>
    <row r="82" spans="1:12" ht="15" customHeight="1" x14ac:dyDescent="0.25">
      <c r="A82" s="199"/>
      <c r="B82" s="200"/>
      <c r="C82" s="81" t="s">
        <v>164</v>
      </c>
      <c r="D82" s="200"/>
      <c r="E82" s="241"/>
      <c r="F82" s="39">
        <v>10.914999999999999</v>
      </c>
      <c r="G82" s="39">
        <v>19.911000000000001</v>
      </c>
      <c r="H82" s="35" t="s">
        <v>67</v>
      </c>
      <c r="I82" s="35" t="s">
        <v>67</v>
      </c>
      <c r="L82" s="68" t="str">
        <f>IFERROR(H82-'Nátok z PRDS'!H82,"N/A")</f>
        <v>N/A</v>
      </c>
    </row>
    <row r="83" spans="1:12" ht="15" customHeight="1" x14ac:dyDescent="0.25">
      <c r="A83" s="199"/>
      <c r="B83" s="200"/>
      <c r="C83" s="81" t="s">
        <v>168</v>
      </c>
      <c r="D83" s="200"/>
      <c r="E83" s="241"/>
      <c r="F83" s="35">
        <f>+F81+F82</f>
        <v>70.185000000000002</v>
      </c>
      <c r="G83" s="35">
        <f t="shared" ref="G83" si="26">+G81+G82</f>
        <v>79.180999999999997</v>
      </c>
      <c r="H83" s="35">
        <f>+G83-F83</f>
        <v>8.9959999999999951</v>
      </c>
      <c r="I83" s="50">
        <f>+ROUND(IF(H83&gt;0,H83*E81,0),4)</f>
        <v>0</v>
      </c>
      <c r="L83" s="68">
        <f>IFERROR(H83-'Nátok z PRDS'!H83,"N/A")</f>
        <v>8.9959999999999951</v>
      </c>
    </row>
    <row r="84" spans="1:12" ht="15" customHeight="1" x14ac:dyDescent="0.25">
      <c r="A84" s="199" t="s">
        <v>64</v>
      </c>
      <c r="B84" s="200" t="s">
        <v>171</v>
      </c>
      <c r="C84" s="81" t="s">
        <v>230</v>
      </c>
      <c r="D84" s="128" t="s">
        <v>165</v>
      </c>
      <c r="E84" s="64"/>
      <c r="F84" s="39">
        <v>0.1186</v>
      </c>
      <c r="G84" s="39">
        <v>0.1305</v>
      </c>
      <c r="H84" s="35">
        <f>+G84-F84</f>
        <v>1.1900000000000008E-2</v>
      </c>
      <c r="I84" s="50">
        <f t="shared" ref="I84:I85" si="27">+ROUND(IF(H84&gt;0,H84*E84,0),4)</f>
        <v>0</v>
      </c>
      <c r="L84" s="68">
        <f>IFERROR(H84-'Nátok z PRDS'!H84,"N/A")</f>
        <v>1.1900000000000008E-2</v>
      </c>
    </row>
    <row r="85" spans="1:12" ht="15" customHeight="1" x14ac:dyDescent="0.25">
      <c r="A85" s="199"/>
      <c r="B85" s="200"/>
      <c r="C85" s="81" t="s">
        <v>231</v>
      </c>
      <c r="D85" s="128" t="s">
        <v>166</v>
      </c>
      <c r="E85" s="64"/>
      <c r="F85" s="39">
        <v>0.54279999999999995</v>
      </c>
      <c r="G85" s="39">
        <v>0.59730000000000005</v>
      </c>
      <c r="H85" s="35">
        <f>+G85-F85</f>
        <v>5.4500000000000104E-2</v>
      </c>
      <c r="I85" s="50">
        <f t="shared" si="27"/>
        <v>0</v>
      </c>
      <c r="L85" s="68">
        <f>IFERROR(H85-'Nátok z PRDS'!H85,"N/A")</f>
        <v>5.4500000000000104E-2</v>
      </c>
    </row>
    <row r="86" spans="1:12" ht="15" customHeight="1" x14ac:dyDescent="0.25">
      <c r="A86" s="199"/>
      <c r="B86" s="200"/>
      <c r="C86" s="81" t="s">
        <v>163</v>
      </c>
      <c r="D86" s="200" t="s">
        <v>249</v>
      </c>
      <c r="E86" s="241"/>
      <c r="F86" s="39">
        <v>53.23</v>
      </c>
      <c r="G86" s="39">
        <v>45.17</v>
      </c>
      <c r="H86" s="35" t="s">
        <v>67</v>
      </c>
      <c r="I86" s="35" t="s">
        <v>67</v>
      </c>
      <c r="L86" s="68" t="str">
        <f>IFERROR(H86-'Nátok z PRDS'!H86,"N/A")</f>
        <v>N/A</v>
      </c>
    </row>
    <row r="87" spans="1:12" ht="15" customHeight="1" x14ac:dyDescent="0.25">
      <c r="A87" s="199"/>
      <c r="B87" s="200"/>
      <c r="C87" s="81" t="s">
        <v>164</v>
      </c>
      <c r="D87" s="200"/>
      <c r="E87" s="241"/>
      <c r="F87" s="39">
        <v>10.914999999999999</v>
      </c>
      <c r="G87" s="39">
        <v>19.911000000000001</v>
      </c>
      <c r="H87" s="35" t="s">
        <v>67</v>
      </c>
      <c r="I87" s="35" t="s">
        <v>67</v>
      </c>
      <c r="L87" s="68" t="str">
        <f>IFERROR(H87-'Nátok z PRDS'!H87,"N/A")</f>
        <v>N/A</v>
      </c>
    </row>
    <row r="88" spans="1:12" ht="15" customHeight="1" x14ac:dyDescent="0.25">
      <c r="A88" s="199"/>
      <c r="B88" s="200"/>
      <c r="C88" s="81" t="s">
        <v>168</v>
      </c>
      <c r="D88" s="200"/>
      <c r="E88" s="241"/>
      <c r="F88" s="35">
        <f>+F86+F87</f>
        <v>64.144999999999996</v>
      </c>
      <c r="G88" s="35">
        <f t="shared" ref="G88" si="28">+G86+G87</f>
        <v>65.081000000000003</v>
      </c>
      <c r="H88" s="35">
        <f>+G88-F88</f>
        <v>0.93600000000000705</v>
      </c>
      <c r="I88" s="50">
        <f>+ROUND(IF(H88&gt;0,H88*E86,0),4)</f>
        <v>0</v>
      </c>
      <c r="L88" s="68">
        <f>IFERROR(H88-'Nátok z PRDS'!H88,"N/A")</f>
        <v>0.93600000000000705</v>
      </c>
    </row>
    <row r="89" spans="1:12" ht="15" customHeight="1" x14ac:dyDescent="0.25">
      <c r="A89" s="199" t="s">
        <v>64</v>
      </c>
      <c r="B89" s="200" t="s">
        <v>196</v>
      </c>
      <c r="C89" s="81" t="s">
        <v>230</v>
      </c>
      <c r="D89" s="128" t="s">
        <v>165</v>
      </c>
      <c r="E89" s="64"/>
      <c r="F89" s="39">
        <v>0.38529999999999998</v>
      </c>
      <c r="G89" s="39">
        <v>0.2248</v>
      </c>
      <c r="H89" s="35">
        <f>+G89-F89</f>
        <v>-0.16049999999999998</v>
      </c>
      <c r="I89" s="50">
        <f t="shared" ref="I89:I90" si="29">+ROUND(IF(H89&gt;0,H89*E89,0),4)</f>
        <v>0</v>
      </c>
      <c r="L89" s="68">
        <f>IFERROR(H89-'Nátok z PRDS'!H89,"N/A")</f>
        <v>-0.16049999999999998</v>
      </c>
    </row>
    <row r="90" spans="1:12" ht="15" customHeight="1" x14ac:dyDescent="0.25">
      <c r="A90" s="199"/>
      <c r="B90" s="200"/>
      <c r="C90" s="81" t="s">
        <v>231</v>
      </c>
      <c r="D90" s="128" t="s">
        <v>166</v>
      </c>
      <c r="E90" s="64"/>
      <c r="F90" s="39">
        <v>1.7634000000000001</v>
      </c>
      <c r="G90" s="39">
        <v>1.0287999999999999</v>
      </c>
      <c r="H90" s="35">
        <f>+G90-F90</f>
        <v>-0.73460000000000014</v>
      </c>
      <c r="I90" s="50">
        <f t="shared" si="29"/>
        <v>0</v>
      </c>
      <c r="L90" s="68">
        <f>IFERROR(H90-'Nátok z PRDS'!H90,"N/A")</f>
        <v>-0.73460000000000014</v>
      </c>
    </row>
    <row r="91" spans="1:12" ht="15" customHeight="1" x14ac:dyDescent="0.25">
      <c r="A91" s="199"/>
      <c r="B91" s="200"/>
      <c r="C91" s="81" t="s">
        <v>163</v>
      </c>
      <c r="D91" s="200" t="s">
        <v>249</v>
      </c>
      <c r="E91" s="241"/>
      <c r="F91" s="39">
        <v>37.909999999999997</v>
      </c>
      <c r="G91" s="39">
        <v>45.17</v>
      </c>
      <c r="H91" s="35" t="s">
        <v>67</v>
      </c>
      <c r="I91" s="35" t="s">
        <v>67</v>
      </c>
      <c r="L91" s="68" t="str">
        <f>IFERROR(H91-'Nátok z PRDS'!H91,"N/A")</f>
        <v>N/A</v>
      </c>
    </row>
    <row r="92" spans="1:12" ht="15" customHeight="1" x14ac:dyDescent="0.25">
      <c r="A92" s="199"/>
      <c r="B92" s="200"/>
      <c r="C92" s="81" t="s">
        <v>164</v>
      </c>
      <c r="D92" s="200"/>
      <c r="E92" s="241"/>
      <c r="F92" s="39">
        <v>10.914999999999999</v>
      </c>
      <c r="G92" s="39">
        <v>19.911000000000001</v>
      </c>
      <c r="H92" s="35" t="s">
        <v>67</v>
      </c>
      <c r="I92" s="35" t="s">
        <v>67</v>
      </c>
      <c r="L92" s="68" t="str">
        <f>IFERROR(H92-'Nátok z PRDS'!H92,"N/A")</f>
        <v>N/A</v>
      </c>
    </row>
    <row r="93" spans="1:12" ht="15" customHeight="1" x14ac:dyDescent="0.25">
      <c r="A93" s="199"/>
      <c r="B93" s="200"/>
      <c r="C93" s="81" t="s">
        <v>168</v>
      </c>
      <c r="D93" s="200"/>
      <c r="E93" s="241"/>
      <c r="F93" s="35">
        <f>+F91+F92</f>
        <v>48.824999999999996</v>
      </c>
      <c r="G93" s="35">
        <f t="shared" ref="G93" si="30">+G91+G92</f>
        <v>65.081000000000003</v>
      </c>
      <c r="H93" s="35">
        <f>+G93-F93</f>
        <v>16.256000000000007</v>
      </c>
      <c r="I93" s="50">
        <f>+ROUND(IF(H93&gt;0,H93*E91,0),4)</f>
        <v>0</v>
      </c>
      <c r="L93" s="68">
        <f>IFERROR(H93-'Nátok z PRDS'!H93,"N/A")</f>
        <v>16.256000000000007</v>
      </c>
    </row>
    <row r="94" spans="1:12" ht="15" customHeight="1" x14ac:dyDescent="0.25">
      <c r="A94" s="199" t="s">
        <v>64</v>
      </c>
      <c r="B94" s="200" t="s">
        <v>195</v>
      </c>
      <c r="C94" s="81" t="s">
        <v>230</v>
      </c>
      <c r="D94" s="128" t="s">
        <v>165</v>
      </c>
      <c r="E94" s="64"/>
      <c r="F94" s="39">
        <v>0.16200000000000001</v>
      </c>
      <c r="G94" s="39">
        <v>0.2248</v>
      </c>
      <c r="H94" s="35">
        <f>+G94-F94</f>
        <v>6.2799999999999995E-2</v>
      </c>
      <c r="I94" s="50">
        <f>+ROUND(IF(H94&gt;0,H94*E94,0),4)</f>
        <v>0</v>
      </c>
      <c r="L94" s="68">
        <f>IFERROR(H94-'Nátok z PRDS'!H94,"N/A")</f>
        <v>6.2799999999999995E-2</v>
      </c>
    </row>
    <row r="95" spans="1:12" ht="15" customHeight="1" x14ac:dyDescent="0.25">
      <c r="A95" s="199"/>
      <c r="B95" s="200"/>
      <c r="C95" s="81" t="s">
        <v>231</v>
      </c>
      <c r="D95" s="128" t="s">
        <v>166</v>
      </c>
      <c r="E95" s="64"/>
      <c r="F95" s="39">
        <v>0.74139999999999995</v>
      </c>
      <c r="G95" s="39">
        <v>1.0287999999999999</v>
      </c>
      <c r="H95" s="35">
        <f>+G95-F95</f>
        <v>0.28739999999999999</v>
      </c>
      <c r="I95" s="50">
        <f>+ROUND(IF(H95&gt;0,H95*E95,0),4)</f>
        <v>0</v>
      </c>
      <c r="L95" s="68">
        <f>IFERROR(H95-'Nátok z PRDS'!H95,"N/A")</f>
        <v>0.28739999999999999</v>
      </c>
    </row>
    <row r="96" spans="1:12" ht="15" customHeight="1" x14ac:dyDescent="0.25">
      <c r="A96" s="199"/>
      <c r="B96" s="200"/>
      <c r="C96" s="81" t="s">
        <v>179</v>
      </c>
      <c r="D96" s="200" t="s">
        <v>249</v>
      </c>
      <c r="E96" s="241"/>
      <c r="F96" s="39">
        <v>63.01</v>
      </c>
      <c r="G96" s="39">
        <v>54.1</v>
      </c>
      <c r="H96" s="35" t="s">
        <v>67</v>
      </c>
      <c r="I96" s="35" t="s">
        <v>67</v>
      </c>
      <c r="L96" s="68" t="str">
        <f>IFERROR(H96-'Nátok z PRDS'!H96,"N/A")</f>
        <v>N/A</v>
      </c>
    </row>
    <row r="97" spans="1:12" ht="15" customHeight="1" x14ac:dyDescent="0.25">
      <c r="A97" s="199"/>
      <c r="B97" s="200"/>
      <c r="C97" s="81" t="s">
        <v>164</v>
      </c>
      <c r="D97" s="200"/>
      <c r="E97" s="241"/>
      <c r="F97" s="39">
        <v>10.914999999999999</v>
      </c>
      <c r="G97" s="39">
        <v>19.911000000000001</v>
      </c>
      <c r="H97" s="35" t="s">
        <v>67</v>
      </c>
      <c r="I97" s="35" t="s">
        <v>67</v>
      </c>
      <c r="L97" s="68" t="str">
        <f>IFERROR(H97-'Nátok z PRDS'!H97,"N/A")</f>
        <v>N/A</v>
      </c>
    </row>
    <row r="98" spans="1:12" ht="15" customHeight="1" x14ac:dyDescent="0.25">
      <c r="A98" s="199"/>
      <c r="B98" s="200"/>
      <c r="C98" s="81" t="s">
        <v>182</v>
      </c>
      <c r="D98" s="200"/>
      <c r="E98" s="241"/>
      <c r="F98" s="35">
        <f>+F96+F97</f>
        <v>73.924999999999997</v>
      </c>
      <c r="G98" s="35">
        <f t="shared" ref="G98" si="31">+G96+G97</f>
        <v>74.010999999999996</v>
      </c>
      <c r="H98" s="35">
        <f>+G98-F98</f>
        <v>8.5999999999998522E-2</v>
      </c>
      <c r="I98" s="50">
        <f>+ROUND(IF(H98&gt;0,H98*E96,0),4)</f>
        <v>0</v>
      </c>
      <c r="L98" s="68">
        <f>IFERROR(H98-'Nátok z PRDS'!H98,"N/A")</f>
        <v>8.5999999999998522E-2</v>
      </c>
    </row>
    <row r="99" spans="1:12" ht="15" customHeight="1" x14ac:dyDescent="0.25">
      <c r="A99" s="199"/>
      <c r="B99" s="200"/>
      <c r="C99" s="81" t="s">
        <v>180</v>
      </c>
      <c r="D99" s="200" t="s">
        <v>249</v>
      </c>
      <c r="E99" s="241"/>
      <c r="F99" s="39">
        <v>5.5</v>
      </c>
      <c r="G99" s="39">
        <v>5.5</v>
      </c>
      <c r="H99" s="35" t="s">
        <v>67</v>
      </c>
      <c r="I99" s="35" t="s">
        <v>67</v>
      </c>
      <c r="L99" s="68" t="str">
        <f>IFERROR(H99-'Nátok z PRDS'!H99,"N/A")</f>
        <v>N/A</v>
      </c>
    </row>
    <row r="100" spans="1:12" ht="15" customHeight="1" x14ac:dyDescent="0.25">
      <c r="A100" s="199"/>
      <c r="B100" s="200"/>
      <c r="C100" s="81" t="s">
        <v>164</v>
      </c>
      <c r="D100" s="200"/>
      <c r="E100" s="241"/>
      <c r="F100" s="39">
        <v>10.914999999999999</v>
      </c>
      <c r="G100" s="39">
        <v>19.911000000000001</v>
      </c>
      <c r="H100" s="35" t="s">
        <v>67</v>
      </c>
      <c r="I100" s="35" t="s">
        <v>67</v>
      </c>
      <c r="L100" s="68" t="str">
        <f>IFERROR(H100-'Nátok z PRDS'!H100,"N/A")</f>
        <v>N/A</v>
      </c>
    </row>
    <row r="101" spans="1:12" ht="15" customHeight="1" x14ac:dyDescent="0.25">
      <c r="A101" s="199"/>
      <c r="B101" s="200"/>
      <c r="C101" s="81" t="s">
        <v>181</v>
      </c>
      <c r="D101" s="200"/>
      <c r="E101" s="241"/>
      <c r="F101" s="35">
        <f>+F99+F100</f>
        <v>16.414999999999999</v>
      </c>
      <c r="G101" s="35">
        <f t="shared" ref="G101" si="32">+G99+G100</f>
        <v>25.411000000000001</v>
      </c>
      <c r="H101" s="35">
        <f>+G101-F101</f>
        <v>8.9960000000000022</v>
      </c>
      <c r="I101" s="50">
        <f>+ROUND(IF(H101&gt;0,H101*E99,0),4)</f>
        <v>0</v>
      </c>
      <c r="L101" s="68">
        <f>IFERROR(H101-'Nátok z PRDS'!H101,"N/A")</f>
        <v>8.9960000000000022</v>
      </c>
    </row>
    <row r="102" spans="1:12" ht="15" customHeight="1" x14ac:dyDescent="0.25">
      <c r="A102" s="199" t="s">
        <v>64</v>
      </c>
      <c r="B102" s="200" t="s">
        <v>194</v>
      </c>
      <c r="C102" s="81" t="s">
        <v>230</v>
      </c>
      <c r="D102" s="128" t="s">
        <v>165</v>
      </c>
      <c r="E102" s="64"/>
      <c r="F102" s="39">
        <v>0.24429999999999999</v>
      </c>
      <c r="G102" s="39">
        <v>0.2248</v>
      </c>
      <c r="H102" s="35">
        <f>+G102-F102</f>
        <v>-1.949999999999999E-2</v>
      </c>
      <c r="I102" s="50">
        <f t="shared" ref="I102" si="33">+ROUND(IF(H102&gt;0,H102*E102,0),4)</f>
        <v>0</v>
      </c>
      <c r="L102" s="68">
        <f>IFERROR(H102-'Nátok z PRDS'!H102,"N/A")</f>
        <v>-1.949999999999999E-2</v>
      </c>
    </row>
    <row r="103" spans="1:12" ht="15" customHeight="1" x14ac:dyDescent="0.25">
      <c r="A103" s="199"/>
      <c r="B103" s="200"/>
      <c r="C103" s="81" t="s">
        <v>231</v>
      </c>
      <c r="D103" s="128" t="s">
        <v>166</v>
      </c>
      <c r="E103" s="64"/>
      <c r="F103" s="39">
        <v>1.1181000000000001</v>
      </c>
      <c r="G103" s="39">
        <v>1.0287999999999999</v>
      </c>
      <c r="H103" s="35">
        <f>+G103-F103</f>
        <v>-8.9300000000000157E-2</v>
      </c>
      <c r="I103" s="50">
        <f>+ROUND(IF(H103&gt;0,H103*E103,0),4)</f>
        <v>0</v>
      </c>
      <c r="L103" s="68">
        <f>IFERROR(H103-'Nátok z PRDS'!H103,"N/A")</f>
        <v>-8.9300000000000157E-2</v>
      </c>
    </row>
    <row r="104" spans="1:12" ht="15" customHeight="1" x14ac:dyDescent="0.25">
      <c r="A104" s="199"/>
      <c r="B104" s="200"/>
      <c r="C104" s="81" t="s">
        <v>179</v>
      </c>
      <c r="D104" s="200" t="s">
        <v>249</v>
      </c>
      <c r="E104" s="241"/>
      <c r="F104" s="39">
        <v>55.47</v>
      </c>
      <c r="G104" s="39">
        <v>54.1</v>
      </c>
      <c r="H104" s="35" t="s">
        <v>67</v>
      </c>
      <c r="I104" s="35" t="s">
        <v>67</v>
      </c>
      <c r="L104" s="68" t="str">
        <f>IFERROR(H104-'Nátok z PRDS'!H104,"N/A")</f>
        <v>N/A</v>
      </c>
    </row>
    <row r="105" spans="1:12" ht="15" customHeight="1" x14ac:dyDescent="0.25">
      <c r="A105" s="199"/>
      <c r="B105" s="200"/>
      <c r="C105" s="81" t="s">
        <v>164</v>
      </c>
      <c r="D105" s="200"/>
      <c r="E105" s="241"/>
      <c r="F105" s="39">
        <v>10.914999999999999</v>
      </c>
      <c r="G105" s="39">
        <v>19.911000000000001</v>
      </c>
      <c r="H105" s="35" t="s">
        <v>67</v>
      </c>
      <c r="I105" s="35" t="s">
        <v>67</v>
      </c>
      <c r="L105" s="68" t="str">
        <f>IFERROR(H105-'Nátok z PRDS'!H105,"N/A")</f>
        <v>N/A</v>
      </c>
    </row>
    <row r="106" spans="1:12" ht="15" customHeight="1" x14ac:dyDescent="0.25">
      <c r="A106" s="199"/>
      <c r="B106" s="200"/>
      <c r="C106" s="81" t="s">
        <v>182</v>
      </c>
      <c r="D106" s="200"/>
      <c r="E106" s="241"/>
      <c r="F106" s="35">
        <f>+F104+F105</f>
        <v>66.384999999999991</v>
      </c>
      <c r="G106" s="35">
        <f t="shared" ref="G106" si="34">+G104+G105</f>
        <v>74.010999999999996</v>
      </c>
      <c r="H106" s="35">
        <f>+G106-F106</f>
        <v>7.6260000000000048</v>
      </c>
      <c r="I106" s="50">
        <f>+ROUND(IF(H106&gt;0,H106*E104,0),4)</f>
        <v>0</v>
      </c>
      <c r="L106" s="68">
        <f>IFERROR(H106-'Nátok z PRDS'!H106,"N/A")</f>
        <v>7.6260000000000048</v>
      </c>
    </row>
    <row r="107" spans="1:12" ht="15" customHeight="1" x14ac:dyDescent="0.25">
      <c r="A107" s="199"/>
      <c r="B107" s="200"/>
      <c r="C107" s="81" t="s">
        <v>180</v>
      </c>
      <c r="D107" s="200" t="s">
        <v>249</v>
      </c>
      <c r="E107" s="241"/>
      <c r="F107" s="39">
        <v>5.5</v>
      </c>
      <c r="G107" s="39">
        <v>5.5</v>
      </c>
      <c r="H107" s="35" t="s">
        <v>67</v>
      </c>
      <c r="I107" s="35" t="s">
        <v>67</v>
      </c>
      <c r="L107" s="68" t="str">
        <f>IFERROR(H107-'Nátok z PRDS'!H107,"N/A")</f>
        <v>N/A</v>
      </c>
    </row>
    <row r="108" spans="1:12" ht="15" customHeight="1" x14ac:dyDescent="0.25">
      <c r="A108" s="199"/>
      <c r="B108" s="200"/>
      <c r="C108" s="81" t="s">
        <v>164</v>
      </c>
      <c r="D108" s="200"/>
      <c r="E108" s="241"/>
      <c r="F108" s="39">
        <v>10.914999999999999</v>
      </c>
      <c r="G108" s="39">
        <v>19.911000000000001</v>
      </c>
      <c r="H108" s="35" t="s">
        <v>67</v>
      </c>
      <c r="I108" s="35" t="s">
        <v>67</v>
      </c>
      <c r="L108" s="68" t="str">
        <f>IFERROR(H108-'Nátok z PRDS'!H108,"N/A")</f>
        <v>N/A</v>
      </c>
    </row>
    <row r="109" spans="1:12" ht="15" customHeight="1" x14ac:dyDescent="0.25">
      <c r="A109" s="199"/>
      <c r="B109" s="200"/>
      <c r="C109" s="81" t="s">
        <v>181</v>
      </c>
      <c r="D109" s="200"/>
      <c r="E109" s="241"/>
      <c r="F109" s="35">
        <f>+F107+F108</f>
        <v>16.414999999999999</v>
      </c>
      <c r="G109" s="35">
        <f t="shared" ref="G109" si="35">+G107+G108</f>
        <v>25.411000000000001</v>
      </c>
      <c r="H109" s="35">
        <f>+G109-F109</f>
        <v>8.9960000000000022</v>
      </c>
      <c r="I109" s="50">
        <f>+ROUND(IF(H109&gt;0,H109*E107,0),4)</f>
        <v>0</v>
      </c>
      <c r="L109" s="68">
        <f>IFERROR(H109-'Nátok z PRDS'!H109,"N/A")</f>
        <v>8.9960000000000022</v>
      </c>
    </row>
    <row r="110" spans="1:12" ht="15" customHeight="1" x14ac:dyDescent="0.25">
      <c r="A110" s="199" t="s">
        <v>64</v>
      </c>
      <c r="B110" s="200" t="s">
        <v>193</v>
      </c>
      <c r="C110" s="81" t="s">
        <v>230</v>
      </c>
      <c r="D110" s="128" t="s">
        <v>165</v>
      </c>
      <c r="E110" s="64"/>
      <c r="F110" s="39">
        <v>0.41589999999999999</v>
      </c>
      <c r="G110" s="39">
        <v>0.2248</v>
      </c>
      <c r="H110" s="35">
        <f>+G110-F110</f>
        <v>-0.19109999999999999</v>
      </c>
      <c r="I110" s="50">
        <f>+ROUND(IF(H110&gt;0,H110*E110,0),4)</f>
        <v>0</v>
      </c>
      <c r="L110" s="68">
        <f>IFERROR(H110-'Nátok z PRDS'!H110,"N/A")</f>
        <v>-0.19109999999999999</v>
      </c>
    </row>
    <row r="111" spans="1:12" ht="15" customHeight="1" x14ac:dyDescent="0.25">
      <c r="A111" s="199"/>
      <c r="B111" s="200"/>
      <c r="C111" s="81" t="s">
        <v>231</v>
      </c>
      <c r="D111" s="128" t="s">
        <v>166</v>
      </c>
      <c r="E111" s="64"/>
      <c r="F111" s="39">
        <v>1.9034</v>
      </c>
      <c r="G111" s="39">
        <v>1.0287999999999999</v>
      </c>
      <c r="H111" s="35">
        <f>+G111-F111</f>
        <v>-0.87460000000000004</v>
      </c>
      <c r="I111" s="50">
        <f>+ROUND(IF(H111&gt;0,H111*E111,0),4)</f>
        <v>0</v>
      </c>
      <c r="L111" s="68">
        <f>IFERROR(H111-'Nátok z PRDS'!H111,"N/A")</f>
        <v>-0.87460000000000004</v>
      </c>
    </row>
    <row r="112" spans="1:12" ht="15" customHeight="1" x14ac:dyDescent="0.25">
      <c r="A112" s="199"/>
      <c r="B112" s="200"/>
      <c r="C112" s="81" t="s">
        <v>179</v>
      </c>
      <c r="D112" s="200" t="s">
        <v>249</v>
      </c>
      <c r="E112" s="241"/>
      <c r="F112" s="39">
        <v>40.919999999999995</v>
      </c>
      <c r="G112" s="39">
        <v>54.1</v>
      </c>
      <c r="H112" s="35" t="s">
        <v>67</v>
      </c>
      <c r="I112" s="35" t="s">
        <v>67</v>
      </c>
      <c r="L112" s="68" t="str">
        <f>IFERROR(H112-'Nátok z PRDS'!H112,"N/A")</f>
        <v>N/A</v>
      </c>
    </row>
    <row r="113" spans="1:12" ht="15" customHeight="1" x14ac:dyDescent="0.25">
      <c r="A113" s="199"/>
      <c r="B113" s="200"/>
      <c r="C113" s="81" t="s">
        <v>164</v>
      </c>
      <c r="D113" s="200"/>
      <c r="E113" s="241"/>
      <c r="F113" s="39">
        <v>10.914999999999999</v>
      </c>
      <c r="G113" s="39">
        <v>19.911000000000001</v>
      </c>
      <c r="H113" s="35" t="s">
        <v>67</v>
      </c>
      <c r="I113" s="35" t="s">
        <v>67</v>
      </c>
      <c r="L113" s="68" t="str">
        <f>IFERROR(H113-'Nátok z PRDS'!H113,"N/A")</f>
        <v>N/A</v>
      </c>
    </row>
    <row r="114" spans="1:12" ht="15" customHeight="1" x14ac:dyDescent="0.25">
      <c r="A114" s="199"/>
      <c r="B114" s="200"/>
      <c r="C114" s="81" t="s">
        <v>182</v>
      </c>
      <c r="D114" s="200"/>
      <c r="E114" s="241"/>
      <c r="F114" s="35">
        <f>+F112+F113</f>
        <v>51.834999999999994</v>
      </c>
      <c r="G114" s="35">
        <f t="shared" ref="G114" si="36">+G112+G113</f>
        <v>74.010999999999996</v>
      </c>
      <c r="H114" s="35">
        <f>+G114-F114</f>
        <v>22.176000000000002</v>
      </c>
      <c r="I114" s="50">
        <f>+ROUND(IF(H114&gt;0,H114*E112,0),4)</f>
        <v>0</v>
      </c>
      <c r="L114" s="68">
        <f>IFERROR(H114-'Nátok z PRDS'!H114,"N/A")</f>
        <v>22.176000000000002</v>
      </c>
    </row>
    <row r="115" spans="1:12" ht="15" customHeight="1" x14ac:dyDescent="0.25">
      <c r="A115" s="199"/>
      <c r="B115" s="200"/>
      <c r="C115" s="81" t="s">
        <v>180</v>
      </c>
      <c r="D115" s="200" t="s">
        <v>249</v>
      </c>
      <c r="E115" s="241"/>
      <c r="F115" s="39">
        <v>5.5</v>
      </c>
      <c r="G115" s="39">
        <v>5.5</v>
      </c>
      <c r="H115" s="35" t="s">
        <v>67</v>
      </c>
      <c r="I115" s="35" t="s">
        <v>67</v>
      </c>
      <c r="L115" s="68" t="str">
        <f>IFERROR(H115-'Nátok z PRDS'!H115,"N/A")</f>
        <v>N/A</v>
      </c>
    </row>
    <row r="116" spans="1:12" ht="15" customHeight="1" x14ac:dyDescent="0.25">
      <c r="A116" s="199"/>
      <c r="B116" s="200"/>
      <c r="C116" s="81" t="s">
        <v>164</v>
      </c>
      <c r="D116" s="200"/>
      <c r="E116" s="241"/>
      <c r="F116" s="39">
        <v>10.914999999999999</v>
      </c>
      <c r="G116" s="39">
        <v>19.911000000000001</v>
      </c>
      <c r="H116" s="35" t="s">
        <v>67</v>
      </c>
      <c r="I116" s="35" t="s">
        <v>67</v>
      </c>
      <c r="L116" s="68" t="str">
        <f>IFERROR(H116-'Nátok z PRDS'!H116,"N/A")</f>
        <v>N/A</v>
      </c>
    </row>
    <row r="117" spans="1:12" ht="15" customHeight="1" x14ac:dyDescent="0.25">
      <c r="A117" s="199"/>
      <c r="B117" s="200"/>
      <c r="C117" s="81" t="s">
        <v>181</v>
      </c>
      <c r="D117" s="200"/>
      <c r="E117" s="241"/>
      <c r="F117" s="35">
        <f>+F115+F116</f>
        <v>16.414999999999999</v>
      </c>
      <c r="G117" s="35">
        <f t="shared" ref="G117" si="37">+G115+G116</f>
        <v>25.411000000000001</v>
      </c>
      <c r="H117" s="35">
        <f>+G117-F117</f>
        <v>8.9960000000000022</v>
      </c>
      <c r="I117" s="50">
        <f>+ROUND(IF(H117&gt;0,H117*E115,0),4)</f>
        <v>0</v>
      </c>
      <c r="L117" s="68">
        <f>IFERROR(H117-'Nátok z PRDS'!H117,"N/A")</f>
        <v>8.9960000000000022</v>
      </c>
    </row>
    <row r="118" spans="1:12" ht="15" customHeight="1" x14ac:dyDescent="0.25">
      <c r="A118" s="199" t="s">
        <v>64</v>
      </c>
      <c r="B118" s="200" t="s">
        <v>192</v>
      </c>
      <c r="C118" s="81" t="s">
        <v>230</v>
      </c>
      <c r="D118" s="128" t="s">
        <v>165</v>
      </c>
      <c r="E118" s="64"/>
      <c r="F118" s="39">
        <v>0.41610000000000003</v>
      </c>
      <c r="G118" s="39">
        <v>0.41610000000000003</v>
      </c>
      <c r="H118" s="35">
        <f>+G118-F118</f>
        <v>0</v>
      </c>
      <c r="I118" s="50">
        <f>+ROUND(IF(H118&gt;0,H118*E118,0),4)</f>
        <v>0</v>
      </c>
      <c r="L118" s="68">
        <f>IFERROR(H118-'Nátok z PRDS'!H118,"N/A")</f>
        <v>0</v>
      </c>
    </row>
    <row r="119" spans="1:12" ht="15" customHeight="1" x14ac:dyDescent="0.25">
      <c r="A119" s="199"/>
      <c r="B119" s="200"/>
      <c r="C119" s="81" t="s">
        <v>231</v>
      </c>
      <c r="D119" s="128" t="s">
        <v>166</v>
      </c>
      <c r="E119" s="64"/>
      <c r="F119" s="39">
        <v>1.9043000000000001</v>
      </c>
      <c r="G119" s="39">
        <v>1.9043000000000001</v>
      </c>
      <c r="H119" s="35">
        <f>+G119-F119</f>
        <v>0</v>
      </c>
      <c r="I119" s="50">
        <f>+ROUND(IF(H119&gt;0,H119*E119,0),4)</f>
        <v>0</v>
      </c>
      <c r="L119" s="68">
        <f>IFERROR(H119-'Nátok z PRDS'!H119,"N/A")</f>
        <v>0</v>
      </c>
    </row>
    <row r="120" spans="1:12" ht="15" customHeight="1" x14ac:dyDescent="0.25">
      <c r="A120" s="199"/>
      <c r="B120" s="200"/>
      <c r="C120" s="81" t="s">
        <v>179</v>
      </c>
      <c r="D120" s="200" t="s">
        <v>249</v>
      </c>
      <c r="E120" s="241"/>
      <c r="F120" s="39">
        <v>68.42</v>
      </c>
      <c r="G120" s="39">
        <v>68.42</v>
      </c>
      <c r="H120" s="35" t="s">
        <v>67</v>
      </c>
      <c r="I120" s="35" t="s">
        <v>67</v>
      </c>
      <c r="L120" s="68" t="str">
        <f>IFERROR(H120-'Nátok z PRDS'!H120,"N/A")</f>
        <v>N/A</v>
      </c>
    </row>
    <row r="121" spans="1:12" ht="15" customHeight="1" x14ac:dyDescent="0.25">
      <c r="A121" s="199"/>
      <c r="B121" s="200"/>
      <c r="C121" s="81" t="s">
        <v>164</v>
      </c>
      <c r="D121" s="200"/>
      <c r="E121" s="241"/>
      <c r="F121" s="39">
        <v>10.914999999999999</v>
      </c>
      <c r="G121" s="39">
        <v>19.911000000000001</v>
      </c>
      <c r="H121" s="35" t="s">
        <v>67</v>
      </c>
      <c r="I121" s="35" t="s">
        <v>67</v>
      </c>
      <c r="L121" s="68" t="str">
        <f>IFERROR(H121-'Nátok z PRDS'!H121,"N/A")</f>
        <v>N/A</v>
      </c>
    </row>
    <row r="122" spans="1:12" ht="15" customHeight="1" x14ac:dyDescent="0.25">
      <c r="A122" s="199"/>
      <c r="B122" s="200"/>
      <c r="C122" s="81" t="s">
        <v>182</v>
      </c>
      <c r="D122" s="200"/>
      <c r="E122" s="241"/>
      <c r="F122" s="35">
        <f>+F120+F121</f>
        <v>79.335000000000008</v>
      </c>
      <c r="G122" s="35">
        <f t="shared" ref="G122" si="38">+G120+G121</f>
        <v>88.331000000000003</v>
      </c>
      <c r="H122" s="35">
        <f>+G122-F122</f>
        <v>8.9959999999999951</v>
      </c>
      <c r="I122" s="50">
        <f>+ROUND(IF(H122&gt;0,H122*E120,0),4)</f>
        <v>0</v>
      </c>
      <c r="L122" s="68">
        <f>IFERROR(H122-'Nátok z PRDS'!H122,"N/A")</f>
        <v>8.9959999999999951</v>
      </c>
    </row>
    <row r="123" spans="1:12" ht="15" customHeight="1" x14ac:dyDescent="0.25">
      <c r="A123" s="199"/>
      <c r="B123" s="200"/>
      <c r="C123" s="81" t="s">
        <v>180</v>
      </c>
      <c r="D123" s="200" t="s">
        <v>249</v>
      </c>
      <c r="E123" s="241"/>
      <c r="F123" s="39">
        <v>12.360000000000001</v>
      </c>
      <c r="G123" s="39">
        <v>12.36</v>
      </c>
      <c r="H123" s="35" t="s">
        <v>67</v>
      </c>
      <c r="I123" s="35" t="s">
        <v>67</v>
      </c>
      <c r="L123" s="68" t="str">
        <f>IFERROR(H123-'Nátok z PRDS'!H123,"N/A")</f>
        <v>N/A</v>
      </c>
    </row>
    <row r="124" spans="1:12" ht="15" customHeight="1" x14ac:dyDescent="0.25">
      <c r="A124" s="199"/>
      <c r="B124" s="200"/>
      <c r="C124" s="81" t="s">
        <v>164</v>
      </c>
      <c r="D124" s="200"/>
      <c r="E124" s="241"/>
      <c r="F124" s="39">
        <v>10.914999999999999</v>
      </c>
      <c r="G124" s="39">
        <v>19.911000000000001</v>
      </c>
      <c r="H124" s="35" t="s">
        <v>67</v>
      </c>
      <c r="I124" s="35" t="s">
        <v>67</v>
      </c>
      <c r="L124" s="68" t="str">
        <f>IFERROR(H124-'Nátok z PRDS'!H124,"N/A")</f>
        <v>N/A</v>
      </c>
    </row>
    <row r="125" spans="1:12" ht="15" customHeight="1" x14ac:dyDescent="0.25">
      <c r="A125" s="199"/>
      <c r="B125" s="200"/>
      <c r="C125" s="81" t="s">
        <v>181</v>
      </c>
      <c r="D125" s="200"/>
      <c r="E125" s="241"/>
      <c r="F125" s="35">
        <f>+F123+F124</f>
        <v>23.274999999999999</v>
      </c>
      <c r="G125" s="35">
        <f t="shared" ref="G125" si="39">+G123+G124</f>
        <v>32.271000000000001</v>
      </c>
      <c r="H125" s="35">
        <f>+G125-F125</f>
        <v>8.9960000000000022</v>
      </c>
      <c r="I125" s="50">
        <f>+ROUND(IF(H125&gt;0,H125*E123,0),4)</f>
        <v>0</v>
      </c>
      <c r="L125" s="68">
        <f>IFERROR(H125-'Nátok z PRDS'!H125,"N/A")</f>
        <v>8.9960000000000022</v>
      </c>
    </row>
    <row r="126" spans="1:12" ht="15" customHeight="1" x14ac:dyDescent="0.25">
      <c r="A126" s="199" t="s">
        <v>64</v>
      </c>
      <c r="B126" s="200" t="s">
        <v>191</v>
      </c>
      <c r="C126" s="81" t="s">
        <v>230</v>
      </c>
      <c r="D126" s="128" t="s">
        <v>165</v>
      </c>
      <c r="E126" s="64"/>
      <c r="F126" s="39">
        <v>0.41610000000000003</v>
      </c>
      <c r="G126" s="39">
        <v>0.41610000000000003</v>
      </c>
      <c r="H126" s="35">
        <f>+G126-F126</f>
        <v>0</v>
      </c>
      <c r="I126" s="50">
        <f>+ROUND(IF(H126&gt;0,H126*E126,0),4)</f>
        <v>0</v>
      </c>
      <c r="L126" s="68">
        <f>IFERROR(H126-'Nátok z PRDS'!H126,"N/A")</f>
        <v>0</v>
      </c>
    </row>
    <row r="127" spans="1:12" ht="15" customHeight="1" x14ac:dyDescent="0.25">
      <c r="A127" s="199"/>
      <c r="B127" s="200"/>
      <c r="C127" s="81" t="s">
        <v>231</v>
      </c>
      <c r="D127" s="128" t="s">
        <v>166</v>
      </c>
      <c r="E127" s="64"/>
      <c r="F127" s="39">
        <v>1.9043000000000001</v>
      </c>
      <c r="G127" s="39">
        <v>1.9043000000000001</v>
      </c>
      <c r="H127" s="35">
        <f>+G127-F127</f>
        <v>0</v>
      </c>
      <c r="I127" s="50">
        <f>+ROUND(IF(H127&gt;0,H127*E127,0),4)</f>
        <v>0</v>
      </c>
      <c r="L127" s="68">
        <f>IFERROR(H127-'Nátok z PRDS'!H127,"N/A")</f>
        <v>0</v>
      </c>
    </row>
    <row r="128" spans="1:12" ht="15" customHeight="1" x14ac:dyDescent="0.25">
      <c r="A128" s="199"/>
      <c r="B128" s="200"/>
      <c r="C128" s="81" t="s">
        <v>179</v>
      </c>
      <c r="D128" s="200" t="s">
        <v>249</v>
      </c>
      <c r="E128" s="241"/>
      <c r="F128" s="39">
        <v>68.42</v>
      </c>
      <c r="G128" s="39">
        <v>68.42</v>
      </c>
      <c r="H128" s="35" t="s">
        <v>67</v>
      </c>
      <c r="I128" s="35" t="s">
        <v>67</v>
      </c>
      <c r="L128" s="68" t="str">
        <f>IFERROR(H128-'Nátok z PRDS'!H128,"N/A")</f>
        <v>N/A</v>
      </c>
    </row>
    <row r="129" spans="1:12" ht="15" customHeight="1" x14ac:dyDescent="0.25">
      <c r="A129" s="199"/>
      <c r="B129" s="200"/>
      <c r="C129" s="81" t="s">
        <v>164</v>
      </c>
      <c r="D129" s="200"/>
      <c r="E129" s="241"/>
      <c r="F129" s="39">
        <v>10.914999999999999</v>
      </c>
      <c r="G129" s="39">
        <v>19.911000000000001</v>
      </c>
      <c r="H129" s="35" t="s">
        <v>67</v>
      </c>
      <c r="I129" s="35" t="s">
        <v>67</v>
      </c>
      <c r="L129" s="68" t="str">
        <f>IFERROR(H129-'Nátok z PRDS'!H129,"N/A")</f>
        <v>N/A</v>
      </c>
    </row>
    <row r="130" spans="1:12" ht="15" customHeight="1" x14ac:dyDescent="0.25">
      <c r="A130" s="199"/>
      <c r="B130" s="200"/>
      <c r="C130" s="81" t="s">
        <v>182</v>
      </c>
      <c r="D130" s="200"/>
      <c r="E130" s="241"/>
      <c r="F130" s="35">
        <f>+F128+F129</f>
        <v>79.335000000000008</v>
      </c>
      <c r="G130" s="35">
        <f t="shared" ref="G130" si="40">+G128+G129</f>
        <v>88.331000000000003</v>
      </c>
      <c r="H130" s="35">
        <f>+G130-F130</f>
        <v>8.9959999999999951</v>
      </c>
      <c r="I130" s="50">
        <f>+ROUND(IF(H130&gt;0,H130*E128,0),4)</f>
        <v>0</v>
      </c>
      <c r="L130" s="68">
        <f>IFERROR(H130-'Nátok z PRDS'!H130,"N/A")</f>
        <v>8.9959999999999951</v>
      </c>
    </row>
    <row r="131" spans="1:12" ht="15" customHeight="1" x14ac:dyDescent="0.25">
      <c r="A131" s="199"/>
      <c r="B131" s="200"/>
      <c r="C131" s="81" t="s">
        <v>180</v>
      </c>
      <c r="D131" s="200" t="s">
        <v>249</v>
      </c>
      <c r="E131" s="241"/>
      <c r="F131" s="39">
        <v>12.36</v>
      </c>
      <c r="G131" s="39">
        <v>12.36</v>
      </c>
      <c r="H131" s="35" t="s">
        <v>67</v>
      </c>
      <c r="I131" s="35" t="s">
        <v>67</v>
      </c>
      <c r="L131" s="68" t="str">
        <f>IFERROR(H131-'Nátok z PRDS'!H131,"N/A")</f>
        <v>N/A</v>
      </c>
    </row>
    <row r="132" spans="1:12" ht="15" customHeight="1" x14ac:dyDescent="0.25">
      <c r="A132" s="199"/>
      <c r="B132" s="200"/>
      <c r="C132" s="81" t="s">
        <v>164</v>
      </c>
      <c r="D132" s="200"/>
      <c r="E132" s="241"/>
      <c r="F132" s="39">
        <v>10.914999999999999</v>
      </c>
      <c r="G132" s="39">
        <v>19.911000000000001</v>
      </c>
      <c r="H132" s="35" t="s">
        <v>67</v>
      </c>
      <c r="I132" s="35" t="s">
        <v>67</v>
      </c>
      <c r="L132" s="68" t="str">
        <f>IFERROR(H132-'Nátok z PRDS'!H132,"N/A")</f>
        <v>N/A</v>
      </c>
    </row>
    <row r="133" spans="1:12" ht="15" customHeight="1" x14ac:dyDescent="0.25">
      <c r="A133" s="199"/>
      <c r="B133" s="200"/>
      <c r="C133" s="81" t="s">
        <v>181</v>
      </c>
      <c r="D133" s="200"/>
      <c r="E133" s="241"/>
      <c r="F133" s="35">
        <f>+F131+F132</f>
        <v>23.274999999999999</v>
      </c>
      <c r="G133" s="35">
        <f t="shared" ref="G133" si="41">+G131+G132</f>
        <v>32.271000000000001</v>
      </c>
      <c r="H133" s="35">
        <f>+G133-F133</f>
        <v>8.9960000000000022</v>
      </c>
      <c r="I133" s="50">
        <f>+ROUND(IF(H133&gt;0,H133*E131,0),4)</f>
        <v>0</v>
      </c>
      <c r="L133" s="68">
        <f>IFERROR(H133-'Nátok z PRDS'!H133,"N/A")</f>
        <v>8.9960000000000022</v>
      </c>
    </row>
    <row r="134" spans="1:12" ht="15" customHeight="1" x14ac:dyDescent="0.25">
      <c r="A134" s="208" t="s">
        <v>64</v>
      </c>
      <c r="B134" s="211" t="s">
        <v>190</v>
      </c>
      <c r="C134" s="82" t="s">
        <v>162</v>
      </c>
      <c r="D134" s="129" t="s">
        <v>236</v>
      </c>
      <c r="E134" s="66"/>
      <c r="F134" s="46">
        <v>2.63</v>
      </c>
      <c r="G134" s="46">
        <v>2.71</v>
      </c>
      <c r="H134" s="36">
        <f>+G134-F134</f>
        <v>8.0000000000000071E-2</v>
      </c>
      <c r="I134" s="50">
        <f>+ROUND(IF(H134&gt;0,H134*E134,0),4)</f>
        <v>0</v>
      </c>
      <c r="L134" s="68">
        <f>IFERROR(H134-'Nátok z PRDS'!H134,"N/A")</f>
        <v>8.0000000000000071E-2</v>
      </c>
    </row>
    <row r="135" spans="1:12" ht="15" customHeight="1" x14ac:dyDescent="0.25">
      <c r="A135" s="208" t="s">
        <v>65</v>
      </c>
      <c r="B135" s="211"/>
      <c r="C135" s="82" t="s">
        <v>162</v>
      </c>
      <c r="D135" s="129" t="s">
        <v>238</v>
      </c>
      <c r="E135" s="66"/>
      <c r="F135" s="46">
        <v>1.8699999999999999</v>
      </c>
      <c r="G135" s="46">
        <v>1.92</v>
      </c>
      <c r="H135" s="36">
        <f t="shared" ref="H135" si="42">+G135-F135</f>
        <v>5.0000000000000044E-2</v>
      </c>
      <c r="I135" s="50">
        <f t="shared" ref="I135:I137" si="43">+ROUND(IF(H135&gt;0,H135*E135,0),4)</f>
        <v>0</v>
      </c>
      <c r="L135" s="68">
        <f>IFERROR(H135-'Nátok z PRDS'!H135,"N/A")</f>
        <v>5.0000000000000044E-2</v>
      </c>
    </row>
    <row r="136" spans="1:12" ht="15" customHeight="1" x14ac:dyDescent="0.25">
      <c r="A136" s="199" t="s">
        <v>64</v>
      </c>
      <c r="B136" s="200" t="s">
        <v>189</v>
      </c>
      <c r="C136" s="81" t="s">
        <v>230</v>
      </c>
      <c r="D136" s="128" t="s">
        <v>165</v>
      </c>
      <c r="E136" s="64"/>
      <c r="F136" s="39">
        <v>6.1400000000000003E-2</v>
      </c>
      <c r="G136" s="39">
        <v>8.14E-2</v>
      </c>
      <c r="H136" s="35">
        <f>+G136-F136</f>
        <v>1.9999999999999997E-2</v>
      </c>
      <c r="I136" s="50">
        <f t="shared" si="43"/>
        <v>0</v>
      </c>
      <c r="L136" s="68">
        <f>IFERROR(H136-'Nátok z PRDS'!H136,"N/A")</f>
        <v>1.9999999999999997E-2</v>
      </c>
    </row>
    <row r="137" spans="1:12" ht="15" customHeight="1" x14ac:dyDescent="0.25">
      <c r="A137" s="199"/>
      <c r="B137" s="200"/>
      <c r="C137" s="81" t="s">
        <v>231</v>
      </c>
      <c r="D137" s="128" t="s">
        <v>166</v>
      </c>
      <c r="E137" s="64"/>
      <c r="F137" s="39">
        <v>0.28100000000000003</v>
      </c>
      <c r="G137" s="39">
        <v>0.3725</v>
      </c>
      <c r="H137" s="35">
        <f>+G137-F137</f>
        <v>9.149999999999997E-2</v>
      </c>
      <c r="I137" s="50">
        <f t="shared" si="43"/>
        <v>0</v>
      </c>
      <c r="L137" s="68">
        <f>IFERROR(H137-'Nátok z PRDS'!H137,"N/A")</f>
        <v>9.149999999999997E-2</v>
      </c>
    </row>
    <row r="138" spans="1:12" ht="15" customHeight="1" x14ac:dyDescent="0.25">
      <c r="A138" s="199"/>
      <c r="B138" s="200"/>
      <c r="C138" s="81" t="s">
        <v>163</v>
      </c>
      <c r="D138" s="200" t="s">
        <v>249</v>
      </c>
      <c r="E138" s="241"/>
      <c r="F138" s="39">
        <v>37.379999999999995</v>
      </c>
      <c r="G138" s="39">
        <v>37.379999999999995</v>
      </c>
      <c r="H138" s="35" t="s">
        <v>67</v>
      </c>
      <c r="I138" s="35" t="s">
        <v>67</v>
      </c>
      <c r="L138" s="68" t="str">
        <f>IFERROR(H138-'Nátok z PRDS'!H138,"N/A")</f>
        <v>N/A</v>
      </c>
    </row>
    <row r="139" spans="1:12" ht="15" customHeight="1" x14ac:dyDescent="0.25">
      <c r="A139" s="199"/>
      <c r="B139" s="200"/>
      <c r="C139" s="81" t="s">
        <v>164</v>
      </c>
      <c r="D139" s="200"/>
      <c r="E139" s="241"/>
      <c r="F139" s="39">
        <v>10.914999999999999</v>
      </c>
      <c r="G139" s="39">
        <v>19.911000000000001</v>
      </c>
      <c r="H139" s="35" t="s">
        <v>67</v>
      </c>
      <c r="I139" s="35" t="s">
        <v>67</v>
      </c>
      <c r="L139" s="68" t="str">
        <f>IFERROR(H139-'Nátok z PRDS'!H139,"N/A")</f>
        <v>N/A</v>
      </c>
    </row>
    <row r="140" spans="1:12" ht="15" customHeight="1" x14ac:dyDescent="0.25">
      <c r="A140" s="199"/>
      <c r="B140" s="200"/>
      <c r="C140" s="81" t="s">
        <v>168</v>
      </c>
      <c r="D140" s="200"/>
      <c r="E140" s="241"/>
      <c r="F140" s="35">
        <f>+F138+F139</f>
        <v>48.294999999999995</v>
      </c>
      <c r="G140" s="35">
        <f t="shared" ref="G140" si="44">+G138+G139</f>
        <v>57.290999999999997</v>
      </c>
      <c r="H140" s="35">
        <f>+G140-F140</f>
        <v>8.9960000000000022</v>
      </c>
      <c r="I140" s="50">
        <f>+ROUND(IF(H140&gt;0,H140*E138,0),4)</f>
        <v>0</v>
      </c>
      <c r="L140" s="68">
        <f>IFERROR(H140-'Nátok z PRDS'!H140,"N/A")</f>
        <v>8.9960000000000022</v>
      </c>
    </row>
    <row r="141" spans="1:12" ht="15" customHeight="1" x14ac:dyDescent="0.25">
      <c r="A141" s="218" t="s">
        <v>64</v>
      </c>
      <c r="B141" s="221" t="s">
        <v>187</v>
      </c>
      <c r="C141" s="83" t="s">
        <v>162</v>
      </c>
      <c r="D141" s="128" t="s">
        <v>236</v>
      </c>
      <c r="E141" s="70"/>
      <c r="F141" s="39"/>
      <c r="G141" s="39"/>
      <c r="H141" s="35">
        <f>+G141-F141</f>
        <v>0</v>
      </c>
      <c r="I141" s="50">
        <f>+ROUND(IF(H141&gt;0,H141*E141,0),4)</f>
        <v>0</v>
      </c>
      <c r="L141" s="68">
        <f>IFERROR(H141-'Nátok z PRDS'!H141,"N/A")</f>
        <v>0</v>
      </c>
    </row>
    <row r="142" spans="1:12" ht="15" customHeight="1" x14ac:dyDescent="0.25">
      <c r="A142" s="219"/>
      <c r="B142" s="222"/>
      <c r="C142" s="83" t="s">
        <v>230</v>
      </c>
      <c r="D142" s="128" t="s">
        <v>165</v>
      </c>
      <c r="E142" s="70"/>
      <c r="F142" s="39"/>
      <c r="G142" s="39"/>
      <c r="H142" s="35">
        <f>+G142-F142</f>
        <v>0</v>
      </c>
      <c r="I142" s="50">
        <f>+ROUND(IF(H142&gt;0,H142*E142,0),4)</f>
        <v>0</v>
      </c>
      <c r="L142" s="68">
        <f>IFERROR(H142-'Nátok z PRDS'!H142,"N/A")</f>
        <v>0</v>
      </c>
    </row>
    <row r="143" spans="1:12" ht="15" customHeight="1" x14ac:dyDescent="0.25">
      <c r="A143" s="219"/>
      <c r="B143" s="222"/>
      <c r="C143" s="83" t="s">
        <v>231</v>
      </c>
      <c r="D143" s="130" t="s">
        <v>166</v>
      </c>
      <c r="E143" s="70"/>
      <c r="F143" s="39"/>
      <c r="G143" s="39"/>
      <c r="H143" s="35">
        <f>+G143-F143</f>
        <v>0</v>
      </c>
      <c r="I143" s="50">
        <f>+ROUND(IF(H143&gt;0,H143*E143,0),4)</f>
        <v>0</v>
      </c>
      <c r="L143" s="68">
        <f>IFERROR(H143-'Nátok z PRDS'!H143,"N/A")</f>
        <v>0</v>
      </c>
    </row>
    <row r="144" spans="1:12" ht="15" customHeight="1" x14ac:dyDescent="0.25">
      <c r="A144" s="219"/>
      <c r="B144" s="222"/>
      <c r="C144" s="81" t="s">
        <v>163</v>
      </c>
      <c r="D144" s="200" t="s">
        <v>249</v>
      </c>
      <c r="E144" s="242"/>
      <c r="F144" s="39"/>
      <c r="G144" s="39"/>
      <c r="H144" s="35" t="s">
        <v>67</v>
      </c>
      <c r="I144" s="35" t="s">
        <v>67</v>
      </c>
      <c r="L144" s="68" t="str">
        <f>IFERROR(H144-'Nátok z PRDS'!H144,"N/A")</f>
        <v>N/A</v>
      </c>
    </row>
    <row r="145" spans="1:12" ht="15" customHeight="1" x14ac:dyDescent="0.25">
      <c r="A145" s="219"/>
      <c r="B145" s="222"/>
      <c r="C145" s="81" t="s">
        <v>164</v>
      </c>
      <c r="D145" s="200"/>
      <c r="E145" s="242"/>
      <c r="F145" s="39"/>
      <c r="G145" s="39"/>
      <c r="H145" s="35" t="s">
        <v>67</v>
      </c>
      <c r="I145" s="35" t="s">
        <v>67</v>
      </c>
      <c r="L145" s="68" t="str">
        <f>IFERROR(H145-'Nátok z PRDS'!H145,"N/A")</f>
        <v>N/A</v>
      </c>
    </row>
    <row r="146" spans="1:12" ht="15" customHeight="1" x14ac:dyDescent="0.25">
      <c r="A146" s="220"/>
      <c r="B146" s="223"/>
      <c r="C146" s="81" t="s">
        <v>168</v>
      </c>
      <c r="D146" s="200"/>
      <c r="E146" s="242"/>
      <c r="F146" s="35">
        <f>+F144+F145</f>
        <v>0</v>
      </c>
      <c r="G146" s="35">
        <f>+G144+G145</f>
        <v>0</v>
      </c>
      <c r="H146" s="35">
        <f>+G146-F146</f>
        <v>0</v>
      </c>
      <c r="I146" s="50">
        <f>+ROUND(IF(H146&gt;0,H146*E144,0),4)</f>
        <v>0</v>
      </c>
      <c r="L146" s="68">
        <f>IFERROR(H146-'Nátok z PRDS'!H146,"N/A")</f>
        <v>0</v>
      </c>
    </row>
    <row r="147" spans="1:12" ht="15" customHeight="1" x14ac:dyDescent="0.25">
      <c r="A147" s="199" t="s">
        <v>64</v>
      </c>
      <c r="B147" s="200" t="s">
        <v>232</v>
      </c>
      <c r="C147" s="81" t="s">
        <v>230</v>
      </c>
      <c r="D147" s="128" t="s">
        <v>165</v>
      </c>
      <c r="E147" s="63"/>
      <c r="F147" s="39"/>
      <c r="G147" s="39"/>
      <c r="H147" s="35">
        <f>+G147-F147</f>
        <v>0</v>
      </c>
      <c r="I147" s="50">
        <f t="shared" ref="I147" si="45">+ROUND(IF(H147&gt;0,H147*E147,0),4)</f>
        <v>0</v>
      </c>
      <c r="L147" s="68">
        <f>IFERROR(H147-'Nátok z PRDS'!H147,"N/A")</f>
        <v>0</v>
      </c>
    </row>
    <row r="148" spans="1:12" ht="15" customHeight="1" x14ac:dyDescent="0.25">
      <c r="A148" s="199"/>
      <c r="B148" s="200"/>
      <c r="C148" s="81" t="s">
        <v>231</v>
      </c>
      <c r="D148" s="128" t="s">
        <v>166</v>
      </c>
      <c r="E148" s="63"/>
      <c r="F148" s="39"/>
      <c r="G148" s="39"/>
      <c r="H148" s="35">
        <f>+G148-F148</f>
        <v>0</v>
      </c>
      <c r="I148" s="50">
        <f>+ROUND(IF(H148&gt;0,H148*E148,0),4)</f>
        <v>0</v>
      </c>
      <c r="L148" s="68">
        <f>IFERROR(H148-'Nátok z PRDS'!H148,"N/A")</f>
        <v>0</v>
      </c>
    </row>
    <row r="149" spans="1:12" ht="15" customHeight="1" x14ac:dyDescent="0.25">
      <c r="A149" s="199"/>
      <c r="B149" s="200"/>
      <c r="C149" s="81" t="s">
        <v>179</v>
      </c>
      <c r="D149" s="200" t="s">
        <v>249</v>
      </c>
      <c r="E149" s="242"/>
      <c r="F149" s="39"/>
      <c r="G149" s="39"/>
      <c r="H149" s="35" t="s">
        <v>67</v>
      </c>
      <c r="I149" s="35" t="s">
        <v>67</v>
      </c>
      <c r="L149" s="68" t="str">
        <f>IFERROR(H149-'Nátok z PRDS'!H149,"N/A")</f>
        <v>N/A</v>
      </c>
    </row>
    <row r="150" spans="1:12" ht="15" customHeight="1" x14ac:dyDescent="0.25">
      <c r="A150" s="199"/>
      <c r="B150" s="200"/>
      <c r="C150" s="81" t="s">
        <v>164</v>
      </c>
      <c r="D150" s="200"/>
      <c r="E150" s="242"/>
      <c r="F150" s="39"/>
      <c r="G150" s="39"/>
      <c r="H150" s="35" t="s">
        <v>67</v>
      </c>
      <c r="I150" s="35" t="s">
        <v>67</v>
      </c>
      <c r="L150" s="68" t="str">
        <f>IFERROR(H150-'Nátok z PRDS'!H150,"N/A")</f>
        <v>N/A</v>
      </c>
    </row>
    <row r="151" spans="1:12" ht="15" customHeight="1" x14ac:dyDescent="0.25">
      <c r="A151" s="199"/>
      <c r="B151" s="200"/>
      <c r="C151" s="81" t="s">
        <v>182</v>
      </c>
      <c r="D151" s="200"/>
      <c r="E151" s="242"/>
      <c r="F151" s="35">
        <f>+F149+F150</f>
        <v>0</v>
      </c>
      <c r="G151" s="35">
        <f t="shared" ref="G151" si="46">+G149+G150</f>
        <v>0</v>
      </c>
      <c r="H151" s="35">
        <f>+G151-F151</f>
        <v>0</v>
      </c>
      <c r="I151" s="50">
        <f>+ROUND(IF(H151&gt;0,H151*E149,0),4)</f>
        <v>0</v>
      </c>
      <c r="L151" s="68">
        <f>IFERROR(H151-'Nátok z PRDS'!H151,"N/A")</f>
        <v>0</v>
      </c>
    </row>
    <row r="152" spans="1:12" ht="15" customHeight="1" x14ac:dyDescent="0.25">
      <c r="A152" s="199"/>
      <c r="B152" s="200"/>
      <c r="C152" s="81" t="s">
        <v>180</v>
      </c>
      <c r="D152" s="200" t="s">
        <v>249</v>
      </c>
      <c r="E152" s="243"/>
      <c r="F152" s="39"/>
      <c r="G152" s="39"/>
      <c r="H152" s="35" t="s">
        <v>67</v>
      </c>
      <c r="I152" s="35" t="s">
        <v>67</v>
      </c>
      <c r="L152" s="68" t="str">
        <f>IFERROR(H152-'Nátok z PRDS'!H152,"N/A")</f>
        <v>N/A</v>
      </c>
    </row>
    <row r="153" spans="1:12" ht="15" customHeight="1" x14ac:dyDescent="0.25">
      <c r="A153" s="199"/>
      <c r="B153" s="200"/>
      <c r="C153" s="81" t="s">
        <v>164</v>
      </c>
      <c r="D153" s="200"/>
      <c r="E153" s="243"/>
      <c r="F153" s="39"/>
      <c r="G153" s="39"/>
      <c r="H153" s="35" t="s">
        <v>67</v>
      </c>
      <c r="I153" s="35" t="s">
        <v>67</v>
      </c>
      <c r="L153" s="68" t="str">
        <f>IFERROR(H153-'Nátok z PRDS'!H153,"N/A")</f>
        <v>N/A</v>
      </c>
    </row>
    <row r="154" spans="1:12" ht="15" customHeight="1" x14ac:dyDescent="0.25">
      <c r="A154" s="199"/>
      <c r="B154" s="200"/>
      <c r="C154" s="81" t="s">
        <v>181</v>
      </c>
      <c r="D154" s="200"/>
      <c r="E154" s="243"/>
      <c r="F154" s="35">
        <f>+F152+F153</f>
        <v>0</v>
      </c>
      <c r="G154" s="35">
        <f t="shared" ref="G154" si="47">+G152+G153</f>
        <v>0</v>
      </c>
      <c r="H154" s="35">
        <f>+G154-F154</f>
        <v>0</v>
      </c>
      <c r="I154" s="50">
        <f>+ROUND(IF(H154&gt;0,H154*E152,0),4)</f>
        <v>0</v>
      </c>
      <c r="L154" s="68">
        <f>IFERROR(H154-'Nátok z PRDS'!H154,"N/A")</f>
        <v>0</v>
      </c>
    </row>
    <row r="155" spans="1:12" ht="15" customHeight="1" x14ac:dyDescent="0.25">
      <c r="A155" s="199" t="s">
        <v>64</v>
      </c>
      <c r="B155" s="200" t="s">
        <v>233</v>
      </c>
      <c r="C155" s="81" t="s">
        <v>230</v>
      </c>
      <c r="D155" s="128" t="s">
        <v>165</v>
      </c>
      <c r="E155" s="63"/>
      <c r="F155" s="39"/>
      <c r="G155" s="39"/>
      <c r="H155" s="35">
        <f>+G155-F155</f>
        <v>0</v>
      </c>
      <c r="I155" s="50">
        <f t="shared" ref="I155:I156" si="48">+ROUND(IF(H155&gt;0,H155*E155,0),4)</f>
        <v>0</v>
      </c>
      <c r="L155" s="68">
        <f>IFERROR(H155-'Nátok z PRDS'!H155,"N/A")</f>
        <v>0</v>
      </c>
    </row>
    <row r="156" spans="1:12" ht="15" customHeight="1" x14ac:dyDescent="0.25">
      <c r="A156" s="199"/>
      <c r="B156" s="200"/>
      <c r="C156" s="81" t="s">
        <v>231</v>
      </c>
      <c r="D156" s="128" t="s">
        <v>166</v>
      </c>
      <c r="E156" s="63"/>
      <c r="F156" s="39"/>
      <c r="G156" s="39"/>
      <c r="H156" s="35">
        <f>+G156-F156</f>
        <v>0</v>
      </c>
      <c r="I156" s="50">
        <f t="shared" si="48"/>
        <v>0</v>
      </c>
      <c r="L156" s="68">
        <f>IFERROR(H156-'Nátok z PRDS'!H156,"N/A")</f>
        <v>0</v>
      </c>
    </row>
    <row r="157" spans="1:12" ht="15" customHeight="1" x14ac:dyDescent="0.25">
      <c r="A157" s="199"/>
      <c r="B157" s="200"/>
      <c r="C157" s="81" t="s">
        <v>226</v>
      </c>
      <c r="D157" s="200" t="s">
        <v>249</v>
      </c>
      <c r="E157" s="242"/>
      <c r="F157" s="39"/>
      <c r="G157" s="39"/>
      <c r="H157" s="35" t="s">
        <v>67</v>
      </c>
      <c r="I157" s="35" t="s">
        <v>67</v>
      </c>
      <c r="L157" s="68" t="str">
        <f>IFERROR(H157-'Nátok z PRDS'!H157,"N/A")</f>
        <v>N/A</v>
      </c>
    </row>
    <row r="158" spans="1:12" ht="15" customHeight="1" x14ac:dyDescent="0.25">
      <c r="A158" s="199"/>
      <c r="B158" s="200"/>
      <c r="C158" s="81" t="s">
        <v>164</v>
      </c>
      <c r="D158" s="200"/>
      <c r="E158" s="242"/>
      <c r="F158" s="39"/>
      <c r="G158" s="39"/>
      <c r="H158" s="35" t="s">
        <v>67</v>
      </c>
      <c r="I158" s="35" t="s">
        <v>67</v>
      </c>
      <c r="L158" s="68" t="str">
        <f>IFERROR(H158-'Nátok z PRDS'!H158,"N/A")</f>
        <v>N/A</v>
      </c>
    </row>
    <row r="159" spans="1:12" ht="15" customHeight="1" x14ac:dyDescent="0.25">
      <c r="A159" s="199"/>
      <c r="B159" s="200"/>
      <c r="C159" s="81" t="s">
        <v>227</v>
      </c>
      <c r="D159" s="200"/>
      <c r="E159" s="242"/>
      <c r="F159" s="35">
        <f>+F157+F158</f>
        <v>0</v>
      </c>
      <c r="G159" s="35">
        <f t="shared" ref="G159" si="49">+G157+G158</f>
        <v>0</v>
      </c>
      <c r="H159" s="35">
        <f>+G159-F159</f>
        <v>0</v>
      </c>
      <c r="I159" s="50">
        <f>+ROUND(IF(H159&gt;0,H159*E157,0),4)</f>
        <v>0</v>
      </c>
      <c r="L159" s="68">
        <f>IFERROR(H159-'Nátok z PRDS'!H159,"N/A")</f>
        <v>0</v>
      </c>
    </row>
    <row r="160" spans="1:12" ht="15" customHeight="1" x14ac:dyDescent="0.25">
      <c r="A160" s="199"/>
      <c r="B160" s="200"/>
      <c r="C160" s="81" t="s">
        <v>179</v>
      </c>
      <c r="D160" s="200" t="s">
        <v>249</v>
      </c>
      <c r="E160" s="242"/>
      <c r="F160" s="39"/>
      <c r="G160" s="39"/>
      <c r="H160" s="35" t="s">
        <v>67</v>
      </c>
      <c r="I160" s="35" t="s">
        <v>67</v>
      </c>
      <c r="L160" s="68" t="str">
        <f>IFERROR(H160-'Nátok z PRDS'!H160,"N/A")</f>
        <v>N/A</v>
      </c>
    </row>
    <row r="161" spans="1:12" ht="15" customHeight="1" x14ac:dyDescent="0.25">
      <c r="A161" s="199"/>
      <c r="B161" s="200"/>
      <c r="C161" s="81" t="s">
        <v>164</v>
      </c>
      <c r="D161" s="200"/>
      <c r="E161" s="242"/>
      <c r="F161" s="39"/>
      <c r="G161" s="39"/>
      <c r="H161" s="35" t="s">
        <v>67</v>
      </c>
      <c r="I161" s="35" t="s">
        <v>67</v>
      </c>
      <c r="L161" s="68" t="str">
        <f>IFERROR(H161-'Nátok z PRDS'!H161,"N/A")</f>
        <v>N/A</v>
      </c>
    </row>
    <row r="162" spans="1:12" ht="15" customHeight="1" x14ac:dyDescent="0.25">
      <c r="A162" s="199"/>
      <c r="B162" s="200"/>
      <c r="C162" s="81" t="s">
        <v>182</v>
      </c>
      <c r="D162" s="200"/>
      <c r="E162" s="242"/>
      <c r="F162" s="35">
        <f>+F160+F161</f>
        <v>0</v>
      </c>
      <c r="G162" s="35">
        <f t="shared" ref="G162" si="50">+G160+G161</f>
        <v>0</v>
      </c>
      <c r="H162" s="35">
        <f>+G162-F162</f>
        <v>0</v>
      </c>
      <c r="I162" s="50">
        <f>+ROUND(IF(H162&gt;0,H162*E160,0),4)</f>
        <v>0</v>
      </c>
      <c r="L162" s="68">
        <f>IFERROR(H162-'Nátok z PRDS'!H162,"N/A")</f>
        <v>0</v>
      </c>
    </row>
    <row r="163" spans="1:12" ht="15" customHeight="1" x14ac:dyDescent="0.25">
      <c r="A163" s="199"/>
      <c r="B163" s="200"/>
      <c r="C163" s="81" t="s">
        <v>180</v>
      </c>
      <c r="D163" s="200" t="s">
        <v>249</v>
      </c>
      <c r="E163" s="243"/>
      <c r="F163" s="39"/>
      <c r="G163" s="39"/>
      <c r="H163" s="35" t="s">
        <v>67</v>
      </c>
      <c r="I163" s="35" t="s">
        <v>67</v>
      </c>
      <c r="L163" s="68" t="str">
        <f>IFERROR(H163-'Nátok z PRDS'!H163,"N/A")</f>
        <v>N/A</v>
      </c>
    </row>
    <row r="164" spans="1:12" ht="15" customHeight="1" x14ac:dyDescent="0.25">
      <c r="A164" s="199"/>
      <c r="B164" s="200"/>
      <c r="C164" s="81" t="s">
        <v>164</v>
      </c>
      <c r="D164" s="200"/>
      <c r="E164" s="243"/>
      <c r="F164" s="39"/>
      <c r="G164" s="39"/>
      <c r="H164" s="35" t="s">
        <v>67</v>
      </c>
      <c r="I164" s="35" t="s">
        <v>67</v>
      </c>
      <c r="L164" s="68" t="str">
        <f>IFERROR(H164-'Nátok z PRDS'!H164,"N/A")</f>
        <v>N/A</v>
      </c>
    </row>
    <row r="165" spans="1:12" ht="15" customHeight="1" x14ac:dyDescent="0.25">
      <c r="A165" s="199"/>
      <c r="B165" s="200"/>
      <c r="C165" s="81" t="s">
        <v>181</v>
      </c>
      <c r="D165" s="200"/>
      <c r="E165" s="243"/>
      <c r="F165" s="35">
        <f>+F163+F164</f>
        <v>0</v>
      </c>
      <c r="G165" s="35">
        <f t="shared" ref="G165" si="51">+G163+G164</f>
        <v>0</v>
      </c>
      <c r="H165" s="35">
        <f>+G165-F165</f>
        <v>0</v>
      </c>
      <c r="I165" s="50">
        <f>+ROUND(IF(H165&gt;0,H165*E163,0),4)</f>
        <v>0</v>
      </c>
      <c r="L165" s="68">
        <f>IFERROR(H165-'Nátok z PRDS'!H165,"N/A")</f>
        <v>0</v>
      </c>
    </row>
    <row r="166" spans="1:12" ht="15" customHeight="1" x14ac:dyDescent="0.25">
      <c r="A166" s="199"/>
      <c r="B166" s="200"/>
      <c r="C166" s="81" t="s">
        <v>228</v>
      </c>
      <c r="D166" s="200" t="s">
        <v>249</v>
      </c>
      <c r="E166" s="243"/>
      <c r="F166" s="39"/>
      <c r="G166" s="39"/>
      <c r="H166" s="35" t="s">
        <v>67</v>
      </c>
      <c r="I166" s="35" t="s">
        <v>67</v>
      </c>
      <c r="L166" s="68" t="str">
        <f>IFERROR(H166-'Nátok z PRDS'!H166,"N/A")</f>
        <v>N/A</v>
      </c>
    </row>
    <row r="167" spans="1:12" ht="15" customHeight="1" x14ac:dyDescent="0.25">
      <c r="A167" s="199"/>
      <c r="B167" s="200"/>
      <c r="C167" s="81" t="s">
        <v>164</v>
      </c>
      <c r="D167" s="200"/>
      <c r="E167" s="243"/>
      <c r="F167" s="39"/>
      <c r="G167" s="39"/>
      <c r="H167" s="35" t="s">
        <v>67</v>
      </c>
      <c r="I167" s="35" t="s">
        <v>67</v>
      </c>
      <c r="L167" s="68" t="str">
        <f>IFERROR(H167-'Nátok z PRDS'!H167,"N/A")</f>
        <v>N/A</v>
      </c>
    </row>
    <row r="168" spans="1:12" ht="15" customHeight="1" x14ac:dyDescent="0.25">
      <c r="A168" s="199"/>
      <c r="B168" s="200"/>
      <c r="C168" s="81" t="s">
        <v>229</v>
      </c>
      <c r="D168" s="200"/>
      <c r="E168" s="243"/>
      <c r="F168" s="35">
        <f>+F166+F167</f>
        <v>0</v>
      </c>
      <c r="G168" s="35">
        <f t="shared" ref="G168" si="52">+G166+G167</f>
        <v>0</v>
      </c>
      <c r="H168" s="35">
        <f>+G168-F168</f>
        <v>0</v>
      </c>
      <c r="I168" s="50">
        <f>+ROUND(IF(H168&gt;0,H168*E166,0),4)</f>
        <v>0</v>
      </c>
      <c r="L168" s="68">
        <f>IFERROR(H168-'Nátok z PRDS'!H168,"N/A")</f>
        <v>0</v>
      </c>
    </row>
    <row r="169" spans="1:12" x14ac:dyDescent="0.25">
      <c r="A169" s="209" t="s">
        <v>64</v>
      </c>
      <c r="B169" s="210" t="s">
        <v>188</v>
      </c>
      <c r="C169" s="109" t="s">
        <v>162</v>
      </c>
      <c r="D169" s="122" t="s">
        <v>67</v>
      </c>
      <c r="E169" s="122" t="s">
        <v>67</v>
      </c>
      <c r="F169" s="52" t="s">
        <v>67</v>
      </c>
      <c r="G169" s="52" t="s">
        <v>67</v>
      </c>
      <c r="H169" s="52" t="s">
        <v>67</v>
      </c>
      <c r="I169" s="52">
        <f>SUM(I79:I80,I84:I85,I89:I90,I94:I95,I102:I103,I110:I111,I118:I119,I126:I127,I134:I137,I147:I148,I155:I156,I141:I143)</f>
        <v>0</v>
      </c>
      <c r="L169" s="68" t="str">
        <f>IFERROR(H169-'Nátok z PRDS'!H169,"N/A")</f>
        <v>N/A</v>
      </c>
    </row>
    <row r="170" spans="1:12" x14ac:dyDescent="0.25">
      <c r="A170" s="209"/>
      <c r="B170" s="210"/>
      <c r="C170" s="109" t="s">
        <v>168</v>
      </c>
      <c r="D170" s="89" t="s">
        <v>249</v>
      </c>
      <c r="E170" s="122">
        <f>SUM(E81,E86,E91,E96,E99,E104,E107,E112,E115,E120,E123,E128,E131,E138,E144,E149,E152,E157,E160,E163,E166)</f>
        <v>0</v>
      </c>
      <c r="F170" s="52" t="s">
        <v>67</v>
      </c>
      <c r="G170" s="52" t="s">
        <v>67</v>
      </c>
      <c r="H170" s="52" t="s">
        <v>67</v>
      </c>
      <c r="I170" s="52">
        <f>SUM(I83,I88,I93,I98,I101,I106,I109,I114,I117,I122,I125,I130,I133,I140,I146,I151,I154,I159,I162,I165,I168)</f>
        <v>0</v>
      </c>
      <c r="L170" s="68" t="str">
        <f>IFERROR(H170-'Nátok z PRDS'!H170,"N/A")</f>
        <v>N/A</v>
      </c>
    </row>
    <row r="171" spans="1:12" ht="15" customHeight="1" x14ac:dyDescent="0.25">
      <c r="A171" s="200" t="s">
        <v>65</v>
      </c>
      <c r="B171" s="200" t="s">
        <v>172</v>
      </c>
      <c r="C171" s="84" t="s">
        <v>203</v>
      </c>
      <c r="D171" s="143" t="s">
        <v>272</v>
      </c>
      <c r="E171" s="64"/>
      <c r="F171" s="117">
        <v>8103.5</v>
      </c>
      <c r="G171" s="117">
        <v>8340.4</v>
      </c>
      <c r="H171" s="35">
        <f t="shared" ref="H171:H180" si="53">+G171-F171</f>
        <v>236.89999999999964</v>
      </c>
      <c r="I171" s="50">
        <f>+ROUND(IF(H171&gt;0,H171*E171,0),4)</f>
        <v>0</v>
      </c>
      <c r="L171" s="68">
        <f>IFERROR(H171-'Nátok z PRDS'!H171,"N/A")</f>
        <v>236.89999999999964</v>
      </c>
    </row>
    <row r="172" spans="1:12" ht="15" customHeight="1" x14ac:dyDescent="0.25">
      <c r="A172" s="200"/>
      <c r="B172" s="200"/>
      <c r="C172" s="84" t="s">
        <v>204</v>
      </c>
      <c r="D172" s="143" t="s">
        <v>272</v>
      </c>
      <c r="E172" s="64"/>
      <c r="F172" s="117">
        <v>6945.8</v>
      </c>
      <c r="G172" s="117">
        <v>7148.9</v>
      </c>
      <c r="H172" s="35">
        <f t="shared" si="53"/>
        <v>203.09999999999945</v>
      </c>
      <c r="I172" s="50">
        <f t="shared" ref="I172:I180" si="54">+ROUND(IF(H172&gt;0,H172*E172,0),4)</f>
        <v>0</v>
      </c>
      <c r="L172" s="68">
        <f>IFERROR(H172-'Nátok z PRDS'!H172,"N/A")</f>
        <v>203.09999999999945</v>
      </c>
    </row>
    <row r="173" spans="1:12" ht="15" customHeight="1" x14ac:dyDescent="0.25">
      <c r="A173" s="200"/>
      <c r="B173" s="200"/>
      <c r="C173" s="84" t="s">
        <v>205</v>
      </c>
      <c r="D173" s="143" t="s">
        <v>272</v>
      </c>
      <c r="E173" s="64"/>
      <c r="F173" s="117">
        <v>5788.2</v>
      </c>
      <c r="G173" s="117">
        <v>5957.4</v>
      </c>
      <c r="H173" s="35">
        <f t="shared" si="53"/>
        <v>169.19999999999982</v>
      </c>
      <c r="I173" s="50">
        <f t="shared" si="54"/>
        <v>0</v>
      </c>
      <c r="L173" s="68">
        <f>IFERROR(H173-'Nátok z PRDS'!H173,"N/A")</f>
        <v>169.19999999999982</v>
      </c>
    </row>
    <row r="174" spans="1:12" ht="15" customHeight="1" x14ac:dyDescent="0.25">
      <c r="A174" s="200"/>
      <c r="B174" s="200"/>
      <c r="C174" s="85" t="s">
        <v>223</v>
      </c>
      <c r="D174" s="143" t="s">
        <v>273</v>
      </c>
      <c r="E174" s="64"/>
      <c r="F174" s="117">
        <v>261.3</v>
      </c>
      <c r="G174" s="117">
        <v>268.89999999999998</v>
      </c>
      <c r="H174" s="35">
        <f t="shared" si="53"/>
        <v>7.5999999999999659</v>
      </c>
      <c r="I174" s="50">
        <f t="shared" si="54"/>
        <v>0</v>
      </c>
      <c r="L174" s="68">
        <f>IFERROR(H174-'Nátok z PRDS'!H174,"N/A")</f>
        <v>7.5999999999999659</v>
      </c>
    </row>
    <row r="175" spans="1:12" ht="24" customHeight="1" x14ac:dyDescent="0.25">
      <c r="A175" s="200"/>
      <c r="B175" s="200"/>
      <c r="C175" s="84" t="s">
        <v>207</v>
      </c>
      <c r="D175" s="143" t="s">
        <v>272</v>
      </c>
      <c r="E175" s="64"/>
      <c r="F175" s="39">
        <v>1215.53</v>
      </c>
      <c r="G175" s="39">
        <v>1251.06</v>
      </c>
      <c r="H175" s="35">
        <f t="shared" si="53"/>
        <v>35.529999999999973</v>
      </c>
      <c r="I175" s="50">
        <f t="shared" si="54"/>
        <v>0</v>
      </c>
      <c r="L175" s="68">
        <f>IFERROR(H175-'Nátok z PRDS'!H175,"N/A")</f>
        <v>35.529999999999973</v>
      </c>
    </row>
    <row r="176" spans="1:12" ht="24" customHeight="1" x14ac:dyDescent="0.25">
      <c r="A176" s="200"/>
      <c r="B176" s="200"/>
      <c r="C176" s="84" t="s">
        <v>208</v>
      </c>
      <c r="D176" s="143" t="s">
        <v>272</v>
      </c>
      <c r="E176" s="64"/>
      <c r="F176" s="39">
        <v>1041.8699999999999</v>
      </c>
      <c r="G176" s="39">
        <v>1072.3399999999999</v>
      </c>
      <c r="H176" s="35">
        <f t="shared" si="53"/>
        <v>30.470000000000027</v>
      </c>
      <c r="I176" s="50">
        <f t="shared" si="54"/>
        <v>0</v>
      </c>
      <c r="L176" s="68">
        <f>IFERROR(H176-'Nátok z PRDS'!H176,"N/A")</f>
        <v>30.470000000000027</v>
      </c>
    </row>
    <row r="177" spans="1:12" ht="24" customHeight="1" x14ac:dyDescent="0.25">
      <c r="A177" s="200"/>
      <c r="B177" s="200"/>
      <c r="C177" s="84" t="s">
        <v>209</v>
      </c>
      <c r="D177" s="143" t="s">
        <v>272</v>
      </c>
      <c r="E177" s="64"/>
      <c r="F177" s="39">
        <v>868.23</v>
      </c>
      <c r="G177" s="39">
        <v>893.61</v>
      </c>
      <c r="H177" s="35">
        <f t="shared" si="53"/>
        <v>25.379999999999995</v>
      </c>
      <c r="I177" s="50">
        <f t="shared" si="54"/>
        <v>0</v>
      </c>
      <c r="L177" s="68">
        <f>IFERROR(H177-'Nátok z PRDS'!H177,"N/A")</f>
        <v>25.379999999999995</v>
      </c>
    </row>
    <row r="178" spans="1:12" ht="15" customHeight="1" x14ac:dyDescent="0.25">
      <c r="A178" s="200"/>
      <c r="B178" s="200"/>
      <c r="C178" s="84" t="s">
        <v>210</v>
      </c>
      <c r="D178" s="143" t="s">
        <v>272</v>
      </c>
      <c r="E178" s="64"/>
      <c r="F178" s="39">
        <v>607.76</v>
      </c>
      <c r="G178" s="39">
        <v>625.53</v>
      </c>
      <c r="H178" s="35">
        <f t="shared" si="53"/>
        <v>17.769999999999982</v>
      </c>
      <c r="I178" s="50">
        <f t="shared" si="54"/>
        <v>0</v>
      </c>
      <c r="L178" s="68">
        <f>IFERROR(H178-'Nátok z PRDS'!H178,"N/A")</f>
        <v>17.769999999999982</v>
      </c>
    </row>
    <row r="179" spans="1:12" ht="15" customHeight="1" x14ac:dyDescent="0.25">
      <c r="A179" s="200"/>
      <c r="B179" s="200"/>
      <c r="C179" s="84" t="s">
        <v>211</v>
      </c>
      <c r="D179" s="143" t="s">
        <v>272</v>
      </c>
      <c r="E179" s="64"/>
      <c r="F179" s="39">
        <v>520.94000000000005</v>
      </c>
      <c r="G179" s="39">
        <v>536.16999999999996</v>
      </c>
      <c r="H179" s="35">
        <f t="shared" si="53"/>
        <v>15.229999999999905</v>
      </c>
      <c r="I179" s="50">
        <f t="shared" si="54"/>
        <v>0</v>
      </c>
      <c r="L179" s="68">
        <f>IFERROR(H179-'Nátok z PRDS'!H179,"N/A")</f>
        <v>15.229999999999905</v>
      </c>
    </row>
    <row r="180" spans="1:12" ht="15" customHeight="1" x14ac:dyDescent="0.25">
      <c r="A180" s="200"/>
      <c r="B180" s="200"/>
      <c r="C180" s="84" t="s">
        <v>212</v>
      </c>
      <c r="D180" s="143" t="s">
        <v>272</v>
      </c>
      <c r="E180" s="64"/>
      <c r="F180" s="39">
        <v>434.12</v>
      </c>
      <c r="G180" s="39">
        <v>446.81</v>
      </c>
      <c r="H180" s="35">
        <f t="shared" si="53"/>
        <v>12.689999999999998</v>
      </c>
      <c r="I180" s="50">
        <f t="shared" si="54"/>
        <v>0</v>
      </c>
      <c r="L180" s="68">
        <f>IFERROR(H180-'Nátok z PRDS'!H180,"N/A")</f>
        <v>12.689999999999998</v>
      </c>
    </row>
    <row r="181" spans="1:12" ht="15" customHeight="1" x14ac:dyDescent="0.25">
      <c r="A181" s="200"/>
      <c r="B181" s="200"/>
      <c r="C181" s="84" t="s">
        <v>163</v>
      </c>
      <c r="D181" s="200" t="s">
        <v>249</v>
      </c>
      <c r="E181" s="241"/>
      <c r="F181" s="39">
        <v>8.81</v>
      </c>
      <c r="G181" s="39">
        <v>7.15</v>
      </c>
      <c r="H181" s="35" t="s">
        <v>67</v>
      </c>
      <c r="I181" s="35" t="s">
        <v>67</v>
      </c>
      <c r="L181" s="68" t="str">
        <f>IFERROR(H181-'Nátok z PRDS'!H181,"N/A")</f>
        <v>N/A</v>
      </c>
    </row>
    <row r="182" spans="1:12" ht="15" customHeight="1" x14ac:dyDescent="0.25">
      <c r="A182" s="200"/>
      <c r="B182" s="200"/>
      <c r="C182" s="84" t="s">
        <v>164</v>
      </c>
      <c r="D182" s="200"/>
      <c r="E182" s="241"/>
      <c r="F182" s="39">
        <v>5.4923000000000002</v>
      </c>
      <c r="G182" s="39">
        <v>10.019</v>
      </c>
      <c r="H182" s="35" t="s">
        <v>67</v>
      </c>
      <c r="I182" s="35" t="s">
        <v>67</v>
      </c>
      <c r="L182" s="68" t="str">
        <f>IFERROR(H182-'Nátok z PRDS'!H182,"N/A")</f>
        <v>N/A</v>
      </c>
    </row>
    <row r="183" spans="1:12" ht="15" customHeight="1" x14ac:dyDescent="0.25">
      <c r="A183" s="200"/>
      <c r="B183" s="200"/>
      <c r="C183" s="84" t="s">
        <v>168</v>
      </c>
      <c r="D183" s="200"/>
      <c r="E183" s="241"/>
      <c r="F183" s="35">
        <f>+F181+F182</f>
        <v>14.302300000000001</v>
      </c>
      <c r="G183" s="35">
        <f t="shared" ref="G183" si="55">+G181+G182</f>
        <v>17.169</v>
      </c>
      <c r="H183" s="35">
        <f>+G183-F183</f>
        <v>2.8666999999999998</v>
      </c>
      <c r="I183" s="50">
        <f>+ROUND(IF(H183&gt;0,H183*E181,0),4)</f>
        <v>0</v>
      </c>
      <c r="L183" s="68">
        <f>IFERROR(H183-'Nátok z PRDS'!H183,"N/A")</f>
        <v>2.8666999999999998</v>
      </c>
    </row>
    <row r="184" spans="1:12" ht="15" customHeight="1" x14ac:dyDescent="0.25">
      <c r="A184" s="200"/>
      <c r="B184" s="200"/>
      <c r="C184" s="84" t="s">
        <v>184</v>
      </c>
      <c r="D184" s="200" t="s">
        <v>249</v>
      </c>
      <c r="E184" s="241"/>
      <c r="F184" s="39">
        <v>8.81</v>
      </c>
      <c r="G184" s="39">
        <v>6.79</v>
      </c>
      <c r="H184" s="35" t="s">
        <v>67</v>
      </c>
      <c r="I184" s="35" t="s">
        <v>67</v>
      </c>
      <c r="L184" s="68" t="str">
        <f>IFERROR(H184-'Nátok z PRDS'!H184,"N/A")</f>
        <v>N/A</v>
      </c>
    </row>
    <row r="185" spans="1:12" ht="15" customHeight="1" x14ac:dyDescent="0.25">
      <c r="A185" s="200"/>
      <c r="B185" s="200"/>
      <c r="C185" s="84" t="s">
        <v>164</v>
      </c>
      <c r="D185" s="200"/>
      <c r="E185" s="241"/>
      <c r="F185" s="39">
        <v>5.4923000000000002</v>
      </c>
      <c r="G185" s="39">
        <v>10.019</v>
      </c>
      <c r="H185" s="35" t="s">
        <v>67</v>
      </c>
      <c r="I185" s="35" t="s">
        <v>67</v>
      </c>
      <c r="L185" s="68" t="str">
        <f>IFERROR(H185-'Nátok z PRDS'!H185,"N/A")</f>
        <v>N/A</v>
      </c>
    </row>
    <row r="186" spans="1:12" ht="15" customHeight="1" x14ac:dyDescent="0.25">
      <c r="A186" s="200"/>
      <c r="B186" s="200"/>
      <c r="C186" s="84" t="s">
        <v>219</v>
      </c>
      <c r="D186" s="200"/>
      <c r="E186" s="241"/>
      <c r="F186" s="35">
        <f>+F184+F185</f>
        <v>14.302300000000001</v>
      </c>
      <c r="G186" s="35">
        <f t="shared" ref="G186" si="56">+G184+G185</f>
        <v>16.809000000000001</v>
      </c>
      <c r="H186" s="35">
        <f>+G186-F186</f>
        <v>2.5067000000000004</v>
      </c>
      <c r="I186" s="50">
        <f>+ROUND(IF(H186&gt;0,H186*E184,0),4)</f>
        <v>0</v>
      </c>
      <c r="L186" s="68">
        <f>IFERROR(H186-'Nátok z PRDS'!H186,"N/A")</f>
        <v>2.5067000000000004</v>
      </c>
    </row>
    <row r="187" spans="1:12" ht="15" customHeight="1" x14ac:dyDescent="0.25">
      <c r="A187" s="200"/>
      <c r="B187" s="200"/>
      <c r="C187" s="84" t="s">
        <v>185</v>
      </c>
      <c r="D187" s="200" t="s">
        <v>249</v>
      </c>
      <c r="E187" s="241"/>
      <c r="F187" s="39">
        <v>8.81</v>
      </c>
      <c r="G187" s="39">
        <v>6.44</v>
      </c>
      <c r="H187" s="35" t="s">
        <v>67</v>
      </c>
      <c r="I187" s="35" t="s">
        <v>67</v>
      </c>
      <c r="L187" s="68" t="str">
        <f>IFERROR(H187-'Nátok z PRDS'!H187,"N/A")</f>
        <v>N/A</v>
      </c>
    </row>
    <row r="188" spans="1:12" ht="15" customHeight="1" x14ac:dyDescent="0.25">
      <c r="A188" s="200"/>
      <c r="B188" s="200"/>
      <c r="C188" s="84" t="s">
        <v>164</v>
      </c>
      <c r="D188" s="200"/>
      <c r="E188" s="241"/>
      <c r="F188" s="39">
        <v>5.4923000000000002</v>
      </c>
      <c r="G188" s="39">
        <v>10.019</v>
      </c>
      <c r="H188" s="35" t="s">
        <v>67</v>
      </c>
      <c r="I188" s="35" t="s">
        <v>67</v>
      </c>
      <c r="L188" s="68" t="str">
        <f>IFERROR(H188-'Nátok z PRDS'!H188,"N/A")</f>
        <v>N/A</v>
      </c>
    </row>
    <row r="189" spans="1:12" ht="15" customHeight="1" x14ac:dyDescent="0.25">
      <c r="A189" s="200"/>
      <c r="B189" s="200"/>
      <c r="C189" s="84" t="s">
        <v>220</v>
      </c>
      <c r="D189" s="200"/>
      <c r="E189" s="241"/>
      <c r="F189" s="35">
        <f>+F187+F188</f>
        <v>14.302300000000001</v>
      </c>
      <c r="G189" s="35">
        <f t="shared" ref="G189" si="57">+G187+G188</f>
        <v>16.459</v>
      </c>
      <c r="H189" s="35">
        <f>+G189-F189</f>
        <v>2.156699999999999</v>
      </c>
      <c r="I189" s="50">
        <f>+ROUND(IF(H189&gt;0,H189*E187,0),4)</f>
        <v>0</v>
      </c>
      <c r="L189" s="68">
        <f>IFERROR(H189-'Nátok z PRDS'!H189,"N/A")</f>
        <v>2.156699999999999</v>
      </c>
    </row>
    <row r="190" spans="1:12" ht="15" customHeight="1" x14ac:dyDescent="0.25">
      <c r="A190" s="199" t="s">
        <v>65</v>
      </c>
      <c r="B190" s="200" t="s">
        <v>183</v>
      </c>
      <c r="C190" s="81" t="s">
        <v>162</v>
      </c>
      <c r="D190" s="128"/>
      <c r="E190" s="63"/>
      <c r="F190" s="39"/>
      <c r="G190" s="39"/>
      <c r="H190" s="45">
        <f>+G190-F190</f>
        <v>0</v>
      </c>
      <c r="I190" s="50">
        <f>+ROUND(IF(H190&gt;0,H190*E190,0),4)</f>
        <v>0</v>
      </c>
      <c r="L190" s="68">
        <f>IFERROR(H190-'Nátok z PRDS'!H190,"N/A")</f>
        <v>0</v>
      </c>
    </row>
    <row r="191" spans="1:12" ht="15" customHeight="1" x14ac:dyDescent="0.25">
      <c r="A191" s="199"/>
      <c r="B191" s="200"/>
      <c r="C191" s="81" t="s">
        <v>163</v>
      </c>
      <c r="D191" s="200" t="s">
        <v>249</v>
      </c>
      <c r="E191" s="242"/>
      <c r="F191" s="39"/>
      <c r="G191" s="39"/>
      <c r="H191" s="45" t="s">
        <v>67</v>
      </c>
      <c r="I191" s="45" t="s">
        <v>67</v>
      </c>
      <c r="L191" s="68" t="str">
        <f>IFERROR(H191-'Nátok z PRDS'!H191,"N/A")</f>
        <v>N/A</v>
      </c>
    </row>
    <row r="192" spans="1:12" ht="15" customHeight="1" x14ac:dyDescent="0.25">
      <c r="A192" s="199"/>
      <c r="B192" s="200"/>
      <c r="C192" s="81" t="s">
        <v>164</v>
      </c>
      <c r="D192" s="200"/>
      <c r="E192" s="242"/>
      <c r="F192" s="39"/>
      <c r="G192" s="39"/>
      <c r="H192" s="45" t="s">
        <v>67</v>
      </c>
      <c r="I192" s="45" t="s">
        <v>67</v>
      </c>
      <c r="L192" s="68" t="str">
        <f>IFERROR(H192-'Nátok z PRDS'!H192,"N/A")</f>
        <v>N/A</v>
      </c>
    </row>
    <row r="193" spans="1:12" ht="15" customHeight="1" x14ac:dyDescent="0.25">
      <c r="A193" s="199"/>
      <c r="B193" s="200"/>
      <c r="C193" s="81" t="s">
        <v>168</v>
      </c>
      <c r="D193" s="200"/>
      <c r="E193" s="242"/>
      <c r="F193" s="45">
        <f>+F191+F192</f>
        <v>0</v>
      </c>
      <c r="G193" s="45">
        <f t="shared" ref="G193" si="58">+G191+G192</f>
        <v>0</v>
      </c>
      <c r="H193" s="45">
        <f>+G193-F193</f>
        <v>0</v>
      </c>
      <c r="I193" s="50">
        <f>+ROUND(IF(H193&gt;0,H193*E191,0),4)</f>
        <v>0</v>
      </c>
      <c r="L193" s="68">
        <f>IFERROR(H193-'Nátok z PRDS'!H193,"N/A")</f>
        <v>0</v>
      </c>
    </row>
    <row r="194" spans="1:12" ht="15" customHeight="1" x14ac:dyDescent="0.25">
      <c r="A194" s="226" t="s">
        <v>65</v>
      </c>
      <c r="B194" s="211" t="s">
        <v>201</v>
      </c>
      <c r="C194" s="82" t="s">
        <v>202</v>
      </c>
      <c r="D194" s="129"/>
      <c r="E194" s="67"/>
      <c r="F194" s="46"/>
      <c r="G194" s="46"/>
      <c r="H194" s="36">
        <f>+G194-F194</f>
        <v>0</v>
      </c>
      <c r="I194" s="51">
        <f>ROUND(IF(H194&gt;0,H194*E194,0),4)</f>
        <v>0</v>
      </c>
      <c r="L194" s="68">
        <f>IFERROR(H194-'Nátok z PRDS'!H194,"N/A")</f>
        <v>0</v>
      </c>
    </row>
    <row r="195" spans="1:12" ht="15" customHeight="1" x14ac:dyDescent="0.25">
      <c r="A195" s="226"/>
      <c r="B195" s="211"/>
      <c r="C195" s="82" t="s">
        <v>163</v>
      </c>
      <c r="D195" s="200" t="s">
        <v>249</v>
      </c>
      <c r="E195" s="244"/>
      <c r="F195" s="46"/>
      <c r="G195" s="46"/>
      <c r="H195" s="36" t="s">
        <v>67</v>
      </c>
      <c r="I195" s="36" t="s">
        <v>67</v>
      </c>
      <c r="L195" s="68" t="str">
        <f>IFERROR(H195-'Nátok z PRDS'!H195,"N/A")</f>
        <v>N/A</v>
      </c>
    </row>
    <row r="196" spans="1:12" ht="15" customHeight="1" x14ac:dyDescent="0.25">
      <c r="A196" s="226"/>
      <c r="B196" s="211"/>
      <c r="C196" s="82" t="s">
        <v>164</v>
      </c>
      <c r="D196" s="200"/>
      <c r="E196" s="244"/>
      <c r="F196" s="46"/>
      <c r="G196" s="46"/>
      <c r="H196" s="36" t="s">
        <v>67</v>
      </c>
      <c r="I196" s="36" t="s">
        <v>67</v>
      </c>
      <c r="L196" s="68" t="str">
        <f>IFERROR(H196-'Nátok z PRDS'!H196,"N/A")</f>
        <v>N/A</v>
      </c>
    </row>
    <row r="197" spans="1:12" ht="15" customHeight="1" x14ac:dyDescent="0.25">
      <c r="A197" s="226"/>
      <c r="B197" s="211"/>
      <c r="C197" s="82" t="s">
        <v>168</v>
      </c>
      <c r="D197" s="200"/>
      <c r="E197" s="244"/>
      <c r="F197" s="36">
        <f>+F195+F196</f>
        <v>0</v>
      </c>
      <c r="G197" s="36">
        <f t="shared" ref="G197" si="59">+G195+G196</f>
        <v>0</v>
      </c>
      <c r="H197" s="36">
        <f>+G197-F197</f>
        <v>0</v>
      </c>
      <c r="I197" s="51">
        <f>ROUND(IF(H197&gt;0,H197*E195,0),4)</f>
        <v>0</v>
      </c>
      <c r="L197" s="68">
        <f>IFERROR(H197-'Nátok z PRDS'!H197,"N/A")</f>
        <v>0</v>
      </c>
    </row>
    <row r="198" spans="1:12" ht="15" customHeight="1" x14ac:dyDescent="0.25">
      <c r="A198" s="199" t="s">
        <v>65</v>
      </c>
      <c r="B198" s="200" t="s">
        <v>186</v>
      </c>
      <c r="C198" s="81" t="s">
        <v>163</v>
      </c>
      <c r="D198" s="200" t="s">
        <v>249</v>
      </c>
      <c r="E198" s="243"/>
      <c r="F198" s="39"/>
      <c r="G198" s="39"/>
      <c r="H198" s="35" t="s">
        <v>67</v>
      </c>
      <c r="I198" s="35" t="s">
        <v>67</v>
      </c>
      <c r="L198" s="68" t="str">
        <f>IFERROR(H198-'Nátok z PRDS'!H198,"N/A")</f>
        <v>N/A</v>
      </c>
    </row>
    <row r="199" spans="1:12" ht="15" customHeight="1" x14ac:dyDescent="0.25">
      <c r="A199" s="199"/>
      <c r="B199" s="200"/>
      <c r="C199" s="81" t="s">
        <v>164</v>
      </c>
      <c r="D199" s="200"/>
      <c r="E199" s="243"/>
      <c r="F199" s="39"/>
      <c r="G199" s="39"/>
      <c r="H199" s="35" t="s">
        <v>67</v>
      </c>
      <c r="I199" s="35" t="s">
        <v>67</v>
      </c>
      <c r="L199" s="68" t="str">
        <f>IFERROR(H199-'Nátok z PRDS'!H199,"N/A")</f>
        <v>N/A</v>
      </c>
    </row>
    <row r="200" spans="1:12" ht="15" customHeight="1" x14ac:dyDescent="0.25">
      <c r="A200" s="199"/>
      <c r="B200" s="200"/>
      <c r="C200" s="81" t="s">
        <v>168</v>
      </c>
      <c r="D200" s="200"/>
      <c r="E200" s="243"/>
      <c r="F200" s="35">
        <f>+F198+F199</f>
        <v>0</v>
      </c>
      <c r="G200" s="35">
        <f t="shared" ref="G200" si="60">+G198+G199</f>
        <v>0</v>
      </c>
      <c r="H200" s="35">
        <f>+G200-F200</f>
        <v>0</v>
      </c>
      <c r="I200" s="50">
        <f>+ROUND(IF(H200&gt;0,H200*E198,0),4)</f>
        <v>0</v>
      </c>
      <c r="L200" s="68">
        <f>IFERROR(H200-'Nátok z PRDS'!H200,"N/A")</f>
        <v>0</v>
      </c>
    </row>
    <row r="201" spans="1:12" x14ac:dyDescent="0.25">
      <c r="A201" s="209" t="s">
        <v>65</v>
      </c>
      <c r="B201" s="210" t="s">
        <v>188</v>
      </c>
      <c r="C201" s="109" t="s">
        <v>162</v>
      </c>
      <c r="D201" s="121" t="s">
        <v>67</v>
      </c>
      <c r="E201" s="122" t="s">
        <v>67</v>
      </c>
      <c r="F201" s="52" t="s">
        <v>67</v>
      </c>
      <c r="G201" s="52" t="s">
        <v>67</v>
      </c>
      <c r="H201" s="52" t="s">
        <v>67</v>
      </c>
      <c r="I201" s="52">
        <f>+SUM(I171:I180,I190,I194)</f>
        <v>0</v>
      </c>
      <c r="L201" s="68" t="str">
        <f>IFERROR(H201-'Nátok z PRDS'!H201,"N/A")</f>
        <v>N/A</v>
      </c>
    </row>
    <row r="202" spans="1:12" x14ac:dyDescent="0.25">
      <c r="A202" s="209"/>
      <c r="B202" s="210"/>
      <c r="C202" s="109" t="s">
        <v>168</v>
      </c>
      <c r="D202" s="89" t="s">
        <v>249</v>
      </c>
      <c r="E202" s="122">
        <f>+E181+E184+E187+E191+E198+E195</f>
        <v>0</v>
      </c>
      <c r="F202" s="52" t="s">
        <v>67</v>
      </c>
      <c r="G202" s="52" t="s">
        <v>67</v>
      </c>
      <c r="H202" s="52" t="s">
        <v>67</v>
      </c>
      <c r="I202" s="52">
        <f>+I183+I186+I189+I193+I200+I197</f>
        <v>0</v>
      </c>
      <c r="L202" s="68" t="str">
        <f>IFERROR(H202-'Nátok z PRDS'!H202,"N/A")</f>
        <v>N/A</v>
      </c>
    </row>
    <row r="203" spans="1:12" ht="15" customHeight="1" x14ac:dyDescent="0.25">
      <c r="A203" s="200" t="s">
        <v>66</v>
      </c>
      <c r="B203" s="200" t="s">
        <v>173</v>
      </c>
      <c r="C203" s="84" t="s">
        <v>203</v>
      </c>
      <c r="D203" s="144" t="s">
        <v>272</v>
      </c>
      <c r="E203" s="64"/>
      <c r="F203" s="39">
        <v>4689.6000000000004</v>
      </c>
      <c r="G203" s="39">
        <v>4826.6000000000004</v>
      </c>
      <c r="H203" s="35">
        <f t="shared" ref="H203:H211" si="61">+G203-F203</f>
        <v>137</v>
      </c>
      <c r="I203" s="50">
        <f t="shared" ref="I203:I211" si="62">+ROUND(IF(H203&gt;0,H203*E203,0),4)</f>
        <v>0</v>
      </c>
      <c r="L203" s="68">
        <f>IFERROR(H203-'Nátok z PRDS'!H203,"N/A")</f>
        <v>137</v>
      </c>
    </row>
    <row r="204" spans="1:12" ht="15" customHeight="1" x14ac:dyDescent="0.25">
      <c r="A204" s="200"/>
      <c r="B204" s="200"/>
      <c r="C204" s="84" t="s">
        <v>204</v>
      </c>
      <c r="D204" s="144" t="s">
        <v>272</v>
      </c>
      <c r="E204" s="64"/>
      <c r="F204" s="39">
        <v>4019.6</v>
      </c>
      <c r="G204" s="39">
        <v>4137.1000000000004</v>
      </c>
      <c r="H204" s="35">
        <f t="shared" si="61"/>
        <v>117.50000000000045</v>
      </c>
      <c r="I204" s="50">
        <f t="shared" si="62"/>
        <v>0</v>
      </c>
      <c r="L204" s="68">
        <f>IFERROR(H204-'Nátok z PRDS'!H204,"N/A")</f>
        <v>117.50000000000045</v>
      </c>
    </row>
    <row r="205" spans="1:12" ht="15" customHeight="1" x14ac:dyDescent="0.25">
      <c r="A205" s="200"/>
      <c r="B205" s="200"/>
      <c r="C205" s="84" t="s">
        <v>205</v>
      </c>
      <c r="D205" s="144" t="s">
        <v>272</v>
      </c>
      <c r="E205" s="64"/>
      <c r="F205" s="39">
        <v>3349.7</v>
      </c>
      <c r="G205" s="39">
        <v>3447.6</v>
      </c>
      <c r="H205" s="35">
        <f t="shared" si="61"/>
        <v>97.900000000000091</v>
      </c>
      <c r="I205" s="50">
        <f t="shared" si="62"/>
        <v>0</v>
      </c>
      <c r="L205" s="68">
        <f>IFERROR(H205-'Nátok z PRDS'!H205,"N/A")</f>
        <v>97.900000000000091</v>
      </c>
    </row>
    <row r="206" spans="1:12" ht="24" customHeight="1" x14ac:dyDescent="0.25">
      <c r="A206" s="200"/>
      <c r="B206" s="200"/>
      <c r="C206" s="84" t="s">
        <v>213</v>
      </c>
      <c r="D206" s="144" t="s">
        <v>272</v>
      </c>
      <c r="E206" s="64"/>
      <c r="F206" s="39">
        <v>703.44</v>
      </c>
      <c r="G206" s="39">
        <v>723.99</v>
      </c>
      <c r="H206" s="35">
        <f t="shared" si="61"/>
        <v>20.549999999999955</v>
      </c>
      <c r="I206" s="50">
        <f t="shared" si="62"/>
        <v>0</v>
      </c>
      <c r="L206" s="68">
        <f>IFERROR(H206-'Nátok z PRDS'!H206,"N/A")</f>
        <v>20.549999999999955</v>
      </c>
    </row>
    <row r="207" spans="1:12" ht="24" customHeight="1" x14ac:dyDescent="0.25">
      <c r="A207" s="200"/>
      <c r="B207" s="200"/>
      <c r="C207" s="84" t="s">
        <v>214</v>
      </c>
      <c r="D207" s="144" t="s">
        <v>272</v>
      </c>
      <c r="E207" s="64"/>
      <c r="F207" s="39">
        <v>602.94000000000005</v>
      </c>
      <c r="G207" s="39">
        <v>620.57000000000005</v>
      </c>
      <c r="H207" s="35">
        <f t="shared" si="61"/>
        <v>17.629999999999995</v>
      </c>
      <c r="I207" s="50">
        <f t="shared" si="62"/>
        <v>0</v>
      </c>
      <c r="L207" s="68">
        <f>IFERROR(H207-'Nátok z PRDS'!H207,"N/A")</f>
        <v>17.629999999999995</v>
      </c>
    </row>
    <row r="208" spans="1:12" ht="24" customHeight="1" x14ac:dyDescent="0.25">
      <c r="A208" s="200"/>
      <c r="B208" s="200"/>
      <c r="C208" s="84" t="s">
        <v>215</v>
      </c>
      <c r="D208" s="144" t="s">
        <v>272</v>
      </c>
      <c r="E208" s="64"/>
      <c r="F208" s="39">
        <v>502.46</v>
      </c>
      <c r="G208" s="39">
        <v>517.14</v>
      </c>
      <c r="H208" s="35">
        <f t="shared" si="61"/>
        <v>14.680000000000007</v>
      </c>
      <c r="I208" s="50">
        <f t="shared" si="62"/>
        <v>0</v>
      </c>
      <c r="L208" s="68">
        <f>IFERROR(H208-'Nátok z PRDS'!H208,"N/A")</f>
        <v>14.680000000000007</v>
      </c>
    </row>
    <row r="209" spans="1:12" ht="15" customHeight="1" x14ac:dyDescent="0.25">
      <c r="A209" s="200"/>
      <c r="B209" s="200"/>
      <c r="C209" s="84" t="s">
        <v>217</v>
      </c>
      <c r="D209" s="144" t="s">
        <v>272</v>
      </c>
      <c r="E209" s="64"/>
      <c r="F209" s="39">
        <v>351.72</v>
      </c>
      <c r="G209" s="39">
        <v>362</v>
      </c>
      <c r="H209" s="35">
        <f t="shared" si="61"/>
        <v>10.279999999999973</v>
      </c>
      <c r="I209" s="50">
        <f t="shared" si="62"/>
        <v>0</v>
      </c>
      <c r="L209" s="68">
        <f>IFERROR(H209-'Nátok z PRDS'!H209,"N/A")</f>
        <v>10.279999999999973</v>
      </c>
    </row>
    <row r="210" spans="1:12" ht="15" customHeight="1" x14ac:dyDescent="0.25">
      <c r="A210" s="200"/>
      <c r="B210" s="200"/>
      <c r="C210" s="84" t="s">
        <v>218</v>
      </c>
      <c r="D210" s="144" t="s">
        <v>272</v>
      </c>
      <c r="E210" s="64"/>
      <c r="F210" s="39">
        <v>301.47000000000003</v>
      </c>
      <c r="G210" s="39">
        <v>310.27999999999997</v>
      </c>
      <c r="H210" s="35">
        <f t="shared" si="61"/>
        <v>8.8099999999999454</v>
      </c>
      <c r="I210" s="50">
        <f t="shared" si="62"/>
        <v>0</v>
      </c>
      <c r="L210" s="68">
        <f>IFERROR(H210-'Nátok z PRDS'!H210,"N/A")</f>
        <v>8.8099999999999454</v>
      </c>
    </row>
    <row r="211" spans="1:12" ht="15" customHeight="1" x14ac:dyDescent="0.25">
      <c r="A211" s="200"/>
      <c r="B211" s="200"/>
      <c r="C211" s="84" t="s">
        <v>216</v>
      </c>
      <c r="D211" s="144" t="s">
        <v>272</v>
      </c>
      <c r="E211" s="64"/>
      <c r="F211" s="39">
        <v>251.23</v>
      </c>
      <c r="G211" s="39">
        <v>258.57</v>
      </c>
      <c r="H211" s="35">
        <f t="shared" si="61"/>
        <v>7.3400000000000034</v>
      </c>
      <c r="I211" s="50">
        <f t="shared" si="62"/>
        <v>0</v>
      </c>
      <c r="L211" s="68">
        <f>IFERROR(H211-'Nátok z PRDS'!H211,"N/A")</f>
        <v>7.3400000000000034</v>
      </c>
    </row>
    <row r="212" spans="1:12" ht="15" customHeight="1" x14ac:dyDescent="0.25">
      <c r="A212" s="200"/>
      <c r="B212" s="200"/>
      <c r="C212" s="81" t="s">
        <v>163</v>
      </c>
      <c r="D212" s="200" t="s">
        <v>249</v>
      </c>
      <c r="E212" s="241"/>
      <c r="F212" s="39">
        <v>5.7</v>
      </c>
      <c r="G212" s="39">
        <v>5.67</v>
      </c>
      <c r="H212" s="35" t="s">
        <v>67</v>
      </c>
      <c r="I212" s="35" t="s">
        <v>67</v>
      </c>
      <c r="L212" s="68" t="str">
        <f>IFERROR(H212-'Nátok z PRDS'!H212,"N/A")</f>
        <v>N/A</v>
      </c>
    </row>
    <row r="213" spans="1:12" ht="15" customHeight="1" x14ac:dyDescent="0.25">
      <c r="A213" s="200"/>
      <c r="B213" s="200"/>
      <c r="C213" s="81" t="s">
        <v>164</v>
      </c>
      <c r="D213" s="200"/>
      <c r="E213" s="241"/>
      <c r="F213" s="39">
        <v>1.831</v>
      </c>
      <c r="G213" s="39">
        <v>3.34</v>
      </c>
      <c r="H213" s="35" t="s">
        <v>67</v>
      </c>
      <c r="I213" s="35" t="s">
        <v>67</v>
      </c>
      <c r="L213" s="68" t="str">
        <f>IFERROR(H213-'Nátok z PRDS'!H213,"N/A")</f>
        <v>N/A</v>
      </c>
    </row>
    <row r="214" spans="1:12" ht="15" customHeight="1" x14ac:dyDescent="0.25">
      <c r="A214" s="200"/>
      <c r="B214" s="200"/>
      <c r="C214" s="81" t="s">
        <v>168</v>
      </c>
      <c r="D214" s="200"/>
      <c r="E214" s="241"/>
      <c r="F214" s="35">
        <f>+F212+F213</f>
        <v>7.5310000000000006</v>
      </c>
      <c r="G214" s="35">
        <f t="shared" ref="G214" si="63">+G212+G213</f>
        <v>9.01</v>
      </c>
      <c r="H214" s="35">
        <f>+G214-F214</f>
        <v>1.4789999999999992</v>
      </c>
      <c r="I214" s="50">
        <f>+ROUND(IF(H214&gt;0,H214*E212,0),4)</f>
        <v>0</v>
      </c>
      <c r="L214" s="68">
        <f>IFERROR(H214-'Nátok z PRDS'!H214,"N/A")</f>
        <v>1.4789999999999992</v>
      </c>
    </row>
    <row r="215" spans="1:12" ht="15" customHeight="1" x14ac:dyDescent="0.25">
      <c r="A215" s="200"/>
      <c r="B215" s="200"/>
      <c r="C215" s="81" t="s">
        <v>184</v>
      </c>
      <c r="D215" s="200" t="s">
        <v>249</v>
      </c>
      <c r="E215" s="241"/>
      <c r="F215" s="39">
        <v>5.7</v>
      </c>
      <c r="G215" s="39">
        <v>5.39</v>
      </c>
      <c r="H215" s="35" t="s">
        <v>67</v>
      </c>
      <c r="I215" s="35" t="s">
        <v>67</v>
      </c>
      <c r="L215" s="68" t="str">
        <f>IFERROR(H215-'Nátok z PRDS'!H215,"N/A")</f>
        <v>N/A</v>
      </c>
    </row>
    <row r="216" spans="1:12" ht="15" customHeight="1" x14ac:dyDescent="0.25">
      <c r="A216" s="200"/>
      <c r="B216" s="200"/>
      <c r="C216" s="81" t="s">
        <v>164</v>
      </c>
      <c r="D216" s="200"/>
      <c r="E216" s="241"/>
      <c r="F216" s="39">
        <v>1.831</v>
      </c>
      <c r="G216" s="39">
        <v>3.34</v>
      </c>
      <c r="H216" s="35" t="s">
        <v>67</v>
      </c>
      <c r="I216" s="35" t="s">
        <v>67</v>
      </c>
      <c r="L216" s="68" t="str">
        <f>IFERROR(H216-'Nátok z PRDS'!H216,"N/A")</f>
        <v>N/A</v>
      </c>
    </row>
    <row r="217" spans="1:12" ht="15" customHeight="1" x14ac:dyDescent="0.25">
      <c r="A217" s="200"/>
      <c r="B217" s="200"/>
      <c r="C217" s="84" t="s">
        <v>219</v>
      </c>
      <c r="D217" s="200"/>
      <c r="E217" s="241"/>
      <c r="F217" s="35">
        <f>+F215+F216</f>
        <v>7.5310000000000006</v>
      </c>
      <c r="G217" s="35">
        <f t="shared" ref="G217" si="64">+G215+G216</f>
        <v>8.73</v>
      </c>
      <c r="H217" s="35">
        <f>+G217-F217</f>
        <v>1.1989999999999998</v>
      </c>
      <c r="I217" s="50">
        <f>+ROUND(IF(H217&gt;0,H217*E215,0),4)</f>
        <v>0</v>
      </c>
      <c r="L217" s="68">
        <f>IFERROR(H217-'Nátok z PRDS'!H217,"N/A")</f>
        <v>1.1989999999999998</v>
      </c>
    </row>
    <row r="218" spans="1:12" ht="15" customHeight="1" x14ac:dyDescent="0.25">
      <c r="A218" s="200"/>
      <c r="B218" s="200"/>
      <c r="C218" s="81" t="s">
        <v>185</v>
      </c>
      <c r="D218" s="200" t="s">
        <v>249</v>
      </c>
      <c r="E218" s="241"/>
      <c r="F218" s="39">
        <v>5.7</v>
      </c>
      <c r="G218" s="39">
        <v>5.0999999999999996</v>
      </c>
      <c r="H218" s="35" t="s">
        <v>67</v>
      </c>
      <c r="I218" s="35" t="s">
        <v>67</v>
      </c>
      <c r="L218" s="68" t="str">
        <f>IFERROR(H218-'Nátok z PRDS'!H218,"N/A")</f>
        <v>N/A</v>
      </c>
    </row>
    <row r="219" spans="1:12" ht="15" customHeight="1" x14ac:dyDescent="0.25">
      <c r="A219" s="200"/>
      <c r="B219" s="200"/>
      <c r="C219" s="81" t="s">
        <v>164</v>
      </c>
      <c r="D219" s="200"/>
      <c r="E219" s="241"/>
      <c r="F219" s="39">
        <v>1.831</v>
      </c>
      <c r="G219" s="39">
        <v>3.34</v>
      </c>
      <c r="H219" s="35" t="s">
        <v>67</v>
      </c>
      <c r="I219" s="35" t="s">
        <v>67</v>
      </c>
      <c r="L219" s="68" t="str">
        <f>IFERROR(H219-'Nátok z PRDS'!H219,"N/A")</f>
        <v>N/A</v>
      </c>
    </row>
    <row r="220" spans="1:12" ht="15" customHeight="1" x14ac:dyDescent="0.25">
      <c r="A220" s="200"/>
      <c r="B220" s="200"/>
      <c r="C220" s="84" t="s">
        <v>220</v>
      </c>
      <c r="D220" s="200"/>
      <c r="E220" s="241"/>
      <c r="F220" s="35">
        <f>+F218+F219</f>
        <v>7.5310000000000006</v>
      </c>
      <c r="G220" s="35">
        <f t="shared" ref="G220" si="65">+G218+G219</f>
        <v>8.44</v>
      </c>
      <c r="H220" s="35">
        <f>+G220-F220</f>
        <v>0.90899999999999892</v>
      </c>
      <c r="I220" s="50">
        <f>+ROUND(IF(H220&gt;0,H220*E218,0),4)</f>
        <v>0</v>
      </c>
      <c r="L220" s="68">
        <f>IFERROR(H220-'Nátok z PRDS'!H220,"N/A")</f>
        <v>0.90899999999999892</v>
      </c>
    </row>
    <row r="221" spans="1:12" x14ac:dyDescent="0.25">
      <c r="A221" s="209" t="s">
        <v>66</v>
      </c>
      <c r="B221" s="210" t="s">
        <v>188</v>
      </c>
      <c r="C221" s="109" t="s">
        <v>162</v>
      </c>
      <c r="D221" s="121" t="s">
        <v>67</v>
      </c>
      <c r="E221" s="52" t="s">
        <v>67</v>
      </c>
      <c r="F221" s="52" t="s">
        <v>67</v>
      </c>
      <c r="G221" s="52" t="s">
        <v>67</v>
      </c>
      <c r="H221" s="52" t="s">
        <v>67</v>
      </c>
      <c r="I221" s="96">
        <f>+SUM(I203:I211)</f>
        <v>0</v>
      </c>
      <c r="K221" s="69" t="s">
        <v>271</v>
      </c>
      <c r="L221" s="71">
        <f>SUM(L5:L220)</f>
        <v>1414.8493999999996</v>
      </c>
    </row>
    <row r="222" spans="1:12" ht="15.75" thickBot="1" x14ac:dyDescent="0.3">
      <c r="A222" s="209"/>
      <c r="B222" s="210"/>
      <c r="C222" s="110" t="s">
        <v>168</v>
      </c>
      <c r="D222" s="90" t="s">
        <v>249</v>
      </c>
      <c r="E222" s="95">
        <f>+E212+E215+E218</f>
        <v>0</v>
      </c>
      <c r="F222" s="95" t="s">
        <v>67</v>
      </c>
      <c r="G222" s="95" t="s">
        <v>67</v>
      </c>
      <c r="H222" s="95" t="s">
        <v>67</v>
      </c>
      <c r="I222" s="97">
        <f>+I214+I217+I220</f>
        <v>0</v>
      </c>
    </row>
    <row r="223" spans="1:12" ht="15.75" customHeight="1" thickBot="1" x14ac:dyDescent="0.3">
      <c r="A223" s="78"/>
      <c r="B223" s="105"/>
      <c r="C223" s="86" t="s">
        <v>258</v>
      </c>
      <c r="D223" s="91"/>
      <c r="E223" s="123" t="s">
        <v>67</v>
      </c>
      <c r="F223" s="123" t="s">
        <v>67</v>
      </c>
      <c r="G223" s="123" t="s">
        <v>67</v>
      </c>
      <c r="H223" s="55" t="s">
        <v>67</v>
      </c>
      <c r="I223" s="56">
        <f>ROUND(SUM(I77:I78,I169:I170,I201:I202,I221:I222),4)</f>
        <v>0</v>
      </c>
    </row>
    <row r="224" spans="1:12" ht="15.75" customHeight="1" thickBot="1" x14ac:dyDescent="0.3">
      <c r="A224" s="78"/>
      <c r="B224" s="105"/>
      <c r="C224" s="87" t="s">
        <v>68</v>
      </c>
      <c r="D224" s="92"/>
      <c r="E224" s="124" t="s">
        <v>67</v>
      </c>
      <c r="F224" s="124" t="s">
        <v>67</v>
      </c>
      <c r="G224" s="124" t="s">
        <v>67</v>
      </c>
      <c r="H224" s="53" t="s">
        <v>67</v>
      </c>
      <c r="I224" s="54">
        <f>ROUND(I225-I223,4)</f>
        <v>0</v>
      </c>
    </row>
    <row r="225" spans="1:9" ht="16.5" customHeight="1" thickBot="1" x14ac:dyDescent="0.3">
      <c r="A225" s="78"/>
      <c r="B225" s="105"/>
      <c r="C225" s="88" t="s">
        <v>69</v>
      </c>
      <c r="D225" s="93"/>
      <c r="E225" s="125" t="s">
        <v>67</v>
      </c>
      <c r="F225" s="125" t="s">
        <v>67</v>
      </c>
      <c r="G225" s="125" t="s">
        <v>67</v>
      </c>
      <c r="H225" s="59" t="s">
        <v>67</v>
      </c>
      <c r="I225" s="60">
        <f>+ROUND(I223*1.2,4)</f>
        <v>0</v>
      </c>
    </row>
  </sheetData>
  <sheetProtection algorithmName="SHA-512" hashValue="9WsBNqHu1LtDKERmDEhsVd1HHdKTjE+yiRg/e9XVKvsi+YaG1LYM/Y3yqyaCZsmWzzWJ3oslMKkkO0fsqgO9aA==" saltValue="18zRR0JSxjRejQSvdKC2FA==" spinCount="100000" sheet="1" selectLockedCells="1"/>
  <mergeCells count="169">
    <mergeCell ref="A221:A222"/>
    <mergeCell ref="B221:B222"/>
    <mergeCell ref="A203:A220"/>
    <mergeCell ref="B203:B220"/>
    <mergeCell ref="D212:D214"/>
    <mergeCell ref="E212:E214"/>
    <mergeCell ref="D215:D217"/>
    <mergeCell ref="E215:E217"/>
    <mergeCell ref="D218:D220"/>
    <mergeCell ref="E218:E220"/>
    <mergeCell ref="A198:A200"/>
    <mergeCell ref="B198:B200"/>
    <mergeCell ref="D198:D200"/>
    <mergeCell ref="E198:E200"/>
    <mergeCell ref="A201:A202"/>
    <mergeCell ref="B201:B202"/>
    <mergeCell ref="A190:A193"/>
    <mergeCell ref="B190:B193"/>
    <mergeCell ref="D191:D193"/>
    <mergeCell ref="E191:E193"/>
    <mergeCell ref="A194:A197"/>
    <mergeCell ref="B194:B197"/>
    <mergeCell ref="D195:D197"/>
    <mergeCell ref="E195:E197"/>
    <mergeCell ref="A169:A170"/>
    <mergeCell ref="B169:B170"/>
    <mergeCell ref="A171:A189"/>
    <mergeCell ref="B171:B189"/>
    <mergeCell ref="D181:D183"/>
    <mergeCell ref="E181:E183"/>
    <mergeCell ref="D184:D186"/>
    <mergeCell ref="E184:E186"/>
    <mergeCell ref="D187:D189"/>
    <mergeCell ref="E187:E189"/>
    <mergeCell ref="A155:A168"/>
    <mergeCell ref="B155:B168"/>
    <mergeCell ref="D157:D159"/>
    <mergeCell ref="E157:E159"/>
    <mergeCell ref="D160:D162"/>
    <mergeCell ref="E160:E162"/>
    <mergeCell ref="D163:D165"/>
    <mergeCell ref="E163:E165"/>
    <mergeCell ref="D166:D168"/>
    <mergeCell ref="E166:E168"/>
    <mergeCell ref="A141:A146"/>
    <mergeCell ref="B141:B146"/>
    <mergeCell ref="D144:D146"/>
    <mergeCell ref="E144:E146"/>
    <mergeCell ref="A147:A154"/>
    <mergeCell ref="B147:B154"/>
    <mergeCell ref="D149:D151"/>
    <mergeCell ref="E149:E151"/>
    <mergeCell ref="D152:D154"/>
    <mergeCell ref="E152:E154"/>
    <mergeCell ref="A134:A135"/>
    <mergeCell ref="B134:B135"/>
    <mergeCell ref="A136:A140"/>
    <mergeCell ref="B136:B140"/>
    <mergeCell ref="D138:D140"/>
    <mergeCell ref="E138:E140"/>
    <mergeCell ref="A126:A133"/>
    <mergeCell ref="B126:B133"/>
    <mergeCell ref="D128:D130"/>
    <mergeCell ref="E128:E130"/>
    <mergeCell ref="D131:D133"/>
    <mergeCell ref="E131:E133"/>
    <mergeCell ref="A118:A125"/>
    <mergeCell ref="B118:B125"/>
    <mergeCell ref="D120:D122"/>
    <mergeCell ref="E120:E122"/>
    <mergeCell ref="D123:D125"/>
    <mergeCell ref="E123:E125"/>
    <mergeCell ref="A110:A117"/>
    <mergeCell ref="B110:B117"/>
    <mergeCell ref="D112:D114"/>
    <mergeCell ref="E112:E114"/>
    <mergeCell ref="D115:D117"/>
    <mergeCell ref="E115:E117"/>
    <mergeCell ref="A102:A109"/>
    <mergeCell ref="B102:B109"/>
    <mergeCell ref="D104:D106"/>
    <mergeCell ref="E104:E106"/>
    <mergeCell ref="D107:D109"/>
    <mergeCell ref="E107:E109"/>
    <mergeCell ref="A94:A101"/>
    <mergeCell ref="B94:B101"/>
    <mergeCell ref="D96:D98"/>
    <mergeCell ref="E96:E98"/>
    <mergeCell ref="D99:D101"/>
    <mergeCell ref="E99:E101"/>
    <mergeCell ref="A84:A88"/>
    <mergeCell ref="B84:B88"/>
    <mergeCell ref="D86:D88"/>
    <mergeCell ref="E86:E88"/>
    <mergeCell ref="A89:A93"/>
    <mergeCell ref="B89:B93"/>
    <mergeCell ref="D91:D93"/>
    <mergeCell ref="E91:E93"/>
    <mergeCell ref="A77:A78"/>
    <mergeCell ref="B77:B78"/>
    <mergeCell ref="A79:A83"/>
    <mergeCell ref="B79:B83"/>
    <mergeCell ref="D81:D83"/>
    <mergeCell ref="E81:E83"/>
    <mergeCell ref="A64:A76"/>
    <mergeCell ref="B64:B76"/>
    <mergeCell ref="D65:D67"/>
    <mergeCell ref="E65:E67"/>
    <mergeCell ref="D68:D70"/>
    <mergeCell ref="E68:E70"/>
    <mergeCell ref="D71:D73"/>
    <mergeCell ref="E71:E73"/>
    <mergeCell ref="D74:D76"/>
    <mergeCell ref="E74:E76"/>
    <mergeCell ref="A57:A63"/>
    <mergeCell ref="B57:B63"/>
    <mergeCell ref="D58:D60"/>
    <mergeCell ref="E58:E60"/>
    <mergeCell ref="D61:D63"/>
    <mergeCell ref="E61:E63"/>
    <mergeCell ref="A50:A56"/>
    <mergeCell ref="B50:B56"/>
    <mergeCell ref="D51:D53"/>
    <mergeCell ref="E51:E53"/>
    <mergeCell ref="D54:D56"/>
    <mergeCell ref="E54:E56"/>
    <mergeCell ref="A43:A49"/>
    <mergeCell ref="B43:B49"/>
    <mergeCell ref="D44:D46"/>
    <mergeCell ref="E44:E46"/>
    <mergeCell ref="D47:D49"/>
    <mergeCell ref="E47:E49"/>
    <mergeCell ref="A36:A42"/>
    <mergeCell ref="B36:B42"/>
    <mergeCell ref="D37:D39"/>
    <mergeCell ref="E37:E39"/>
    <mergeCell ref="D40:D42"/>
    <mergeCell ref="E40:E42"/>
    <mergeCell ref="A29:A35"/>
    <mergeCell ref="B29:B35"/>
    <mergeCell ref="D30:D32"/>
    <mergeCell ref="E30:E32"/>
    <mergeCell ref="D33:D35"/>
    <mergeCell ref="E33:E35"/>
    <mergeCell ref="A21:A28"/>
    <mergeCell ref="B21:B28"/>
    <mergeCell ref="D23:D25"/>
    <mergeCell ref="E23:E25"/>
    <mergeCell ref="D26:D28"/>
    <mergeCell ref="E26:E28"/>
    <mergeCell ref="A9:A13"/>
    <mergeCell ref="B9:B13"/>
    <mergeCell ref="D11:D13"/>
    <mergeCell ref="E11:E13"/>
    <mergeCell ref="A14:A20"/>
    <mergeCell ref="B14:B20"/>
    <mergeCell ref="D15:D17"/>
    <mergeCell ref="E15:E17"/>
    <mergeCell ref="D18:D20"/>
    <mergeCell ref="E18:E20"/>
    <mergeCell ref="A1:I1"/>
    <mergeCell ref="A2:A4"/>
    <mergeCell ref="B2:B4"/>
    <mergeCell ref="C2:C4"/>
    <mergeCell ref="D2:D4"/>
    <mergeCell ref="A5:A8"/>
    <mergeCell ref="B5:B8"/>
    <mergeCell ref="D6:D8"/>
    <mergeCell ref="E6:E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5"/>
  <sheetViews>
    <sheetView zoomScaleNormal="100" workbookViewId="0">
      <selection activeCell="E18" sqref="E18:E20"/>
    </sheetView>
  </sheetViews>
  <sheetFormatPr defaultRowHeight="15" x14ac:dyDescent="0.25"/>
  <cols>
    <col min="1" max="1" width="38.28515625" style="127" customWidth="1"/>
    <col min="2" max="2" width="10.42578125" style="127" customWidth="1"/>
    <col min="3" max="3" width="53.85546875" style="127" customWidth="1"/>
    <col min="4" max="4" width="5.7109375" style="127" customWidth="1"/>
    <col min="5" max="5" width="28.5703125" style="127" customWidth="1"/>
    <col min="6" max="7" width="21.42578125" style="127" customWidth="1"/>
    <col min="8" max="9" width="21.42578125" customWidth="1"/>
    <col min="11" max="11" width="0" hidden="1" customWidth="1"/>
    <col min="12" max="12" width="45.140625" hidden="1" customWidth="1"/>
  </cols>
  <sheetData>
    <row r="1" spans="1:12" ht="21.75" x14ac:dyDescent="0.25">
      <c r="A1" s="235" t="s">
        <v>242</v>
      </c>
      <c r="B1" s="235"/>
      <c r="C1" s="235"/>
      <c r="D1" s="235"/>
      <c r="E1" s="235"/>
      <c r="F1" s="235"/>
      <c r="G1" s="235"/>
      <c r="H1" s="235"/>
      <c r="I1" s="236"/>
      <c r="K1" s="72" t="s">
        <v>274</v>
      </c>
      <c r="L1" s="72" t="s">
        <v>270</v>
      </c>
    </row>
    <row r="2" spans="1:12" ht="36" x14ac:dyDescent="0.25">
      <c r="A2" s="245" t="s">
        <v>237</v>
      </c>
      <c r="B2" s="200" t="s">
        <v>170</v>
      </c>
      <c r="C2" s="200" t="s">
        <v>167</v>
      </c>
      <c r="D2" s="237" t="s">
        <v>234</v>
      </c>
      <c r="E2" s="33" t="s">
        <v>247</v>
      </c>
      <c r="F2" s="126" t="s">
        <v>243</v>
      </c>
      <c r="G2" s="126" t="s">
        <v>244</v>
      </c>
      <c r="H2" s="33" t="s">
        <v>266</v>
      </c>
      <c r="I2" s="48" t="s">
        <v>269</v>
      </c>
    </row>
    <row r="3" spans="1:12" x14ac:dyDescent="0.25">
      <c r="A3" s="245"/>
      <c r="B3" s="200"/>
      <c r="C3" s="200"/>
      <c r="D3" s="237"/>
      <c r="E3" s="37" t="s">
        <v>206</v>
      </c>
      <c r="F3" s="34" t="s">
        <v>178</v>
      </c>
      <c r="G3" s="34" t="s">
        <v>178</v>
      </c>
      <c r="H3" s="34" t="s">
        <v>178</v>
      </c>
      <c r="I3" s="49" t="s">
        <v>57</v>
      </c>
    </row>
    <row r="4" spans="1:12" x14ac:dyDescent="0.25">
      <c r="A4" s="245"/>
      <c r="B4" s="200"/>
      <c r="C4" s="200"/>
      <c r="D4" s="237"/>
      <c r="E4" s="34" t="s">
        <v>58</v>
      </c>
      <c r="F4" s="34" t="s">
        <v>59</v>
      </c>
      <c r="G4" s="34" t="s">
        <v>60</v>
      </c>
      <c r="H4" s="34" t="s">
        <v>61</v>
      </c>
      <c r="I4" s="34" t="s">
        <v>62</v>
      </c>
    </row>
    <row r="5" spans="1:12" x14ac:dyDescent="0.25">
      <c r="A5" s="199" t="s">
        <v>63</v>
      </c>
      <c r="B5" s="200" t="s">
        <v>169</v>
      </c>
      <c r="C5" s="81" t="s">
        <v>162</v>
      </c>
      <c r="D5" s="128"/>
      <c r="E5" s="117"/>
      <c r="F5" s="39">
        <v>1.3</v>
      </c>
      <c r="G5" s="39">
        <v>1.59</v>
      </c>
      <c r="H5" s="35">
        <f>+G5-F5</f>
        <v>0.29000000000000004</v>
      </c>
      <c r="I5" s="50">
        <f>+ROUND(IF(H5&gt;0,H5*E5,0),4)</f>
        <v>0</v>
      </c>
      <c r="L5" s="68">
        <f>IFERROR(H5-'Nátok z PRDS'!H5,"N/A")</f>
        <v>0.29000000000000004</v>
      </c>
    </row>
    <row r="6" spans="1:12" x14ac:dyDescent="0.25">
      <c r="A6" s="199"/>
      <c r="B6" s="200"/>
      <c r="C6" s="81" t="s">
        <v>163</v>
      </c>
      <c r="D6" s="200" t="s">
        <v>249</v>
      </c>
      <c r="E6" s="205"/>
      <c r="F6" s="39">
        <v>47</v>
      </c>
      <c r="G6" s="39">
        <v>51.8</v>
      </c>
      <c r="H6" s="35" t="s">
        <v>67</v>
      </c>
      <c r="I6" s="35" t="s">
        <v>67</v>
      </c>
      <c r="L6" s="68" t="str">
        <f>IFERROR(H6-'Nátok z PRDS'!H6,"N/A")</f>
        <v>N/A</v>
      </c>
    </row>
    <row r="7" spans="1:12" x14ac:dyDescent="0.25">
      <c r="A7" s="199"/>
      <c r="B7" s="200"/>
      <c r="C7" s="81" t="s">
        <v>164</v>
      </c>
      <c r="D7" s="200"/>
      <c r="E7" s="206"/>
      <c r="F7" s="39">
        <v>12.413</v>
      </c>
      <c r="G7" s="39">
        <v>16.244</v>
      </c>
      <c r="H7" s="35" t="s">
        <v>67</v>
      </c>
      <c r="I7" s="35" t="s">
        <v>67</v>
      </c>
      <c r="L7" s="68" t="str">
        <f>IFERROR(H7-'Nátok z PRDS'!H7,"N/A")</f>
        <v>N/A</v>
      </c>
    </row>
    <row r="8" spans="1:12" x14ac:dyDescent="0.25">
      <c r="A8" s="199"/>
      <c r="B8" s="200"/>
      <c r="C8" s="81" t="s">
        <v>168</v>
      </c>
      <c r="D8" s="200"/>
      <c r="E8" s="207"/>
      <c r="F8" s="35">
        <f>+F6+F7</f>
        <v>59.412999999999997</v>
      </c>
      <c r="G8" s="35">
        <f t="shared" ref="G8" si="0">+G6+G7</f>
        <v>68.043999999999997</v>
      </c>
      <c r="H8" s="35">
        <f>+G8-F8</f>
        <v>8.6310000000000002</v>
      </c>
      <c r="I8" s="50">
        <f>+ROUND(IF(H8&gt;0,H8*E6,0),4)</f>
        <v>0</v>
      </c>
      <c r="L8" s="68">
        <f>IFERROR(H8-'Nátok z PRDS'!H8,"N/A")</f>
        <v>8.6310000000000002</v>
      </c>
    </row>
    <row r="9" spans="1:12" x14ac:dyDescent="0.25">
      <c r="A9" s="199" t="s">
        <v>63</v>
      </c>
      <c r="B9" s="200" t="s">
        <v>174</v>
      </c>
      <c r="C9" s="81" t="s">
        <v>162</v>
      </c>
      <c r="D9" s="128"/>
      <c r="E9" s="117"/>
      <c r="F9" s="39">
        <v>4.8211000000000004</v>
      </c>
      <c r="G9" s="39">
        <v>5.4188999999999998</v>
      </c>
      <c r="H9" s="35">
        <f>+G9-F9</f>
        <v>0.59779999999999944</v>
      </c>
      <c r="I9" s="50">
        <f t="shared" ref="I9" si="1">+ROUND(IF(H9&gt;0,H9*E9,0),4)</f>
        <v>0</v>
      </c>
      <c r="L9" s="68">
        <f>IFERROR(H9-'Nátok z PRDS'!H9,"N/A")</f>
        <v>0.59779999999999944</v>
      </c>
    </row>
    <row r="10" spans="1:12" x14ac:dyDescent="0.25">
      <c r="A10" s="199"/>
      <c r="B10" s="200"/>
      <c r="C10" s="82" t="s">
        <v>222</v>
      </c>
      <c r="D10" s="128"/>
      <c r="E10" s="117"/>
      <c r="F10" s="39">
        <v>2.0985999999999998</v>
      </c>
      <c r="G10" s="39">
        <v>2.7094999999999998</v>
      </c>
      <c r="H10" s="35">
        <f>+G10-F10</f>
        <v>0.6109</v>
      </c>
      <c r="I10" s="50">
        <f>+ROUND(IF(H10&gt;0,H10*E10,0),4)</f>
        <v>0</v>
      </c>
      <c r="L10" s="68">
        <f>IFERROR(H10-'Nátok z PRDS'!H10,"N/A")</f>
        <v>0.6109</v>
      </c>
    </row>
    <row r="11" spans="1:12" x14ac:dyDescent="0.25">
      <c r="A11" s="199"/>
      <c r="B11" s="200"/>
      <c r="C11" s="81" t="s">
        <v>163</v>
      </c>
      <c r="D11" s="200" t="s">
        <v>249</v>
      </c>
      <c r="E11" s="205"/>
      <c r="F11" s="39">
        <v>19.7</v>
      </c>
      <c r="G11" s="39">
        <v>21.599999999999998</v>
      </c>
      <c r="H11" s="35" t="s">
        <v>67</v>
      </c>
      <c r="I11" s="35" t="s">
        <v>67</v>
      </c>
      <c r="L11" s="68" t="str">
        <f>IFERROR(H11-'Nátok z PRDS'!H11,"N/A")</f>
        <v>N/A</v>
      </c>
    </row>
    <row r="12" spans="1:12" x14ac:dyDescent="0.25">
      <c r="A12" s="199"/>
      <c r="B12" s="200"/>
      <c r="C12" s="81" t="s">
        <v>164</v>
      </c>
      <c r="D12" s="200"/>
      <c r="E12" s="206"/>
      <c r="F12" s="39">
        <v>12.413</v>
      </c>
      <c r="G12" s="39">
        <v>16.244</v>
      </c>
      <c r="H12" s="35" t="s">
        <v>67</v>
      </c>
      <c r="I12" s="35" t="s">
        <v>67</v>
      </c>
      <c r="L12" s="68" t="str">
        <f>IFERROR(H12-'Nátok z PRDS'!H12,"N/A")</f>
        <v>N/A</v>
      </c>
    </row>
    <row r="13" spans="1:12" x14ac:dyDescent="0.25">
      <c r="A13" s="199"/>
      <c r="B13" s="200"/>
      <c r="C13" s="81" t="s">
        <v>168</v>
      </c>
      <c r="D13" s="200"/>
      <c r="E13" s="207"/>
      <c r="F13" s="35">
        <f>+F11+F12</f>
        <v>32.113</v>
      </c>
      <c r="G13" s="35">
        <f t="shared" ref="G13" si="2">+G11+G12</f>
        <v>37.843999999999994</v>
      </c>
      <c r="H13" s="35">
        <f>+G13-F13</f>
        <v>5.7309999999999945</v>
      </c>
      <c r="I13" s="50">
        <f>+ROUND(IF(H13&gt;0,H13*E11,0),4)</f>
        <v>0</v>
      </c>
      <c r="L13" s="68">
        <f>IFERROR(H13-'Nátok z PRDS'!H13,"N/A")</f>
        <v>5.7309999999999945</v>
      </c>
    </row>
    <row r="14" spans="1:12" x14ac:dyDescent="0.25">
      <c r="A14" s="199" t="s">
        <v>63</v>
      </c>
      <c r="B14" s="200" t="s">
        <v>175</v>
      </c>
      <c r="C14" s="81" t="s">
        <v>162</v>
      </c>
      <c r="D14" s="128"/>
      <c r="E14" s="117"/>
      <c r="F14" s="39">
        <v>0.2954</v>
      </c>
      <c r="G14" s="39">
        <v>0.34860000000000002</v>
      </c>
      <c r="H14" s="35">
        <f>+G14-F14</f>
        <v>5.3200000000000025E-2</v>
      </c>
      <c r="I14" s="50">
        <f t="shared" ref="I14" si="3">+ROUND(IF(H14&gt;0,H14*E14,0),4)</f>
        <v>0</v>
      </c>
      <c r="L14" s="68">
        <f>IFERROR(H14-'Nátok z PRDS'!H14,"N/A")</f>
        <v>5.3200000000000025E-2</v>
      </c>
    </row>
    <row r="15" spans="1:12" x14ac:dyDescent="0.25">
      <c r="A15" s="199"/>
      <c r="B15" s="200"/>
      <c r="C15" s="81" t="s">
        <v>179</v>
      </c>
      <c r="D15" s="200" t="s">
        <v>249</v>
      </c>
      <c r="E15" s="205">
        <v>0</v>
      </c>
      <c r="F15" s="39">
        <v>5.2</v>
      </c>
      <c r="G15" s="39">
        <v>5.0999999999999996</v>
      </c>
      <c r="H15" s="35" t="s">
        <v>67</v>
      </c>
      <c r="I15" s="35" t="s">
        <v>67</v>
      </c>
      <c r="L15" s="68" t="str">
        <f>IFERROR(H15-'Nátok z PRDS'!H15,"N/A")</f>
        <v>N/A</v>
      </c>
    </row>
    <row r="16" spans="1:12" x14ac:dyDescent="0.25">
      <c r="A16" s="199"/>
      <c r="B16" s="200"/>
      <c r="C16" s="81" t="s">
        <v>164</v>
      </c>
      <c r="D16" s="200"/>
      <c r="E16" s="206"/>
      <c r="F16" s="39">
        <v>12.413</v>
      </c>
      <c r="G16" s="39">
        <v>16.244</v>
      </c>
      <c r="H16" s="35" t="s">
        <v>67</v>
      </c>
      <c r="I16" s="35" t="s">
        <v>67</v>
      </c>
      <c r="L16" s="68" t="str">
        <f>IFERROR(H16-'Nátok z PRDS'!H16,"N/A")</f>
        <v>N/A</v>
      </c>
    </row>
    <row r="17" spans="1:12" x14ac:dyDescent="0.25">
      <c r="A17" s="199"/>
      <c r="B17" s="200"/>
      <c r="C17" s="81" t="s">
        <v>182</v>
      </c>
      <c r="D17" s="200"/>
      <c r="E17" s="207"/>
      <c r="F17" s="35">
        <f>+F15+F16</f>
        <v>17.613</v>
      </c>
      <c r="G17" s="35">
        <f t="shared" ref="G17" si="4">+G15+G16</f>
        <v>21.344000000000001</v>
      </c>
      <c r="H17" s="35">
        <f>+G17-F17</f>
        <v>3.7310000000000016</v>
      </c>
      <c r="I17" s="50">
        <f>+ROUND(IF(H17&gt;0,H17*E15,0),4)</f>
        <v>0</v>
      </c>
      <c r="L17" s="68">
        <f>IFERROR(H17-'Nátok z PRDS'!H17,"N/A")</f>
        <v>3.7310000000000016</v>
      </c>
    </row>
    <row r="18" spans="1:12" x14ac:dyDescent="0.25">
      <c r="A18" s="199"/>
      <c r="B18" s="200"/>
      <c r="C18" s="81" t="s">
        <v>180</v>
      </c>
      <c r="D18" s="200" t="s">
        <v>249</v>
      </c>
      <c r="E18" s="205">
        <v>0</v>
      </c>
      <c r="F18" s="39"/>
      <c r="G18" s="39"/>
      <c r="H18" s="35" t="s">
        <v>67</v>
      </c>
      <c r="I18" s="35" t="s">
        <v>67</v>
      </c>
      <c r="L18" s="68" t="str">
        <f>IFERROR(H18-'Nátok z PRDS'!H18,"N/A")</f>
        <v>N/A</v>
      </c>
    </row>
    <row r="19" spans="1:12" x14ac:dyDescent="0.25">
      <c r="A19" s="199"/>
      <c r="B19" s="200"/>
      <c r="C19" s="81" t="s">
        <v>164</v>
      </c>
      <c r="D19" s="200"/>
      <c r="E19" s="206"/>
      <c r="F19" s="39"/>
      <c r="G19" s="39"/>
      <c r="H19" s="35" t="s">
        <v>67</v>
      </c>
      <c r="I19" s="35" t="s">
        <v>67</v>
      </c>
      <c r="L19" s="68" t="str">
        <f>IFERROR(H19-'Nátok z PRDS'!H19,"N/A")</f>
        <v>N/A</v>
      </c>
    </row>
    <row r="20" spans="1:12" x14ac:dyDescent="0.25">
      <c r="A20" s="199"/>
      <c r="B20" s="200"/>
      <c r="C20" s="81" t="s">
        <v>181</v>
      </c>
      <c r="D20" s="200"/>
      <c r="E20" s="207"/>
      <c r="F20" s="35">
        <f>+F18+F19</f>
        <v>0</v>
      </c>
      <c r="G20" s="35">
        <f t="shared" ref="G20" si="5">+G18+G19</f>
        <v>0</v>
      </c>
      <c r="H20" s="35">
        <f>+G20-F20</f>
        <v>0</v>
      </c>
      <c r="I20" s="50">
        <f>+ROUND(IF(H20&gt;0,H20*E18,0),4)</f>
        <v>0</v>
      </c>
      <c r="L20" s="68">
        <f>IFERROR(H20-'Nátok z PRDS'!H20,"N/A")</f>
        <v>0</v>
      </c>
    </row>
    <row r="21" spans="1:12" x14ac:dyDescent="0.25">
      <c r="A21" s="199" t="s">
        <v>63</v>
      </c>
      <c r="B21" s="200" t="s">
        <v>176</v>
      </c>
      <c r="C21" s="81" t="s">
        <v>162</v>
      </c>
      <c r="D21" s="128"/>
      <c r="E21" s="117"/>
      <c r="F21" s="39">
        <v>0.2954</v>
      </c>
      <c r="G21" s="39">
        <v>0.34860000000000002</v>
      </c>
      <c r="H21" s="35">
        <f>+G21-F21</f>
        <v>5.3200000000000025E-2</v>
      </c>
      <c r="I21" s="50">
        <f t="shared" ref="I21:I22" si="6">+ROUND(IF(H21&gt;0,H21*E21,0),4)</f>
        <v>0</v>
      </c>
      <c r="L21" s="68">
        <f>IFERROR(H21-'Nátok z PRDS'!H21,"N/A")</f>
        <v>5.3200000000000025E-2</v>
      </c>
    </row>
    <row r="22" spans="1:12" x14ac:dyDescent="0.25">
      <c r="A22" s="199"/>
      <c r="B22" s="200"/>
      <c r="C22" s="81" t="s">
        <v>222</v>
      </c>
      <c r="D22" s="128"/>
      <c r="E22" s="117"/>
      <c r="F22" s="39">
        <v>0.1651</v>
      </c>
      <c r="G22" s="39">
        <v>0.17430000000000001</v>
      </c>
      <c r="H22" s="35">
        <f>+G22-F22</f>
        <v>9.2000000000000137E-3</v>
      </c>
      <c r="I22" s="50">
        <f t="shared" si="6"/>
        <v>0</v>
      </c>
      <c r="L22" s="68">
        <f>IFERROR(H22-'Nátok z PRDS'!H22,"N/A")</f>
        <v>9.2000000000000137E-3</v>
      </c>
    </row>
    <row r="23" spans="1:12" x14ac:dyDescent="0.25">
      <c r="A23" s="199"/>
      <c r="B23" s="200"/>
      <c r="C23" s="81" t="s">
        <v>179</v>
      </c>
      <c r="D23" s="200" t="s">
        <v>249</v>
      </c>
      <c r="E23" s="205">
        <v>0</v>
      </c>
      <c r="F23" s="39">
        <v>5.2</v>
      </c>
      <c r="G23" s="39">
        <v>5.0999999999999996</v>
      </c>
      <c r="H23" s="35" t="s">
        <v>67</v>
      </c>
      <c r="I23" s="35" t="s">
        <v>67</v>
      </c>
      <c r="L23" s="68" t="str">
        <f>IFERROR(H23-'Nátok z PRDS'!H23,"N/A")</f>
        <v>N/A</v>
      </c>
    </row>
    <row r="24" spans="1:12" x14ac:dyDescent="0.25">
      <c r="A24" s="199"/>
      <c r="B24" s="200"/>
      <c r="C24" s="81" t="s">
        <v>164</v>
      </c>
      <c r="D24" s="200"/>
      <c r="E24" s="206"/>
      <c r="F24" s="39">
        <v>12.413</v>
      </c>
      <c r="G24" s="39">
        <v>16.244</v>
      </c>
      <c r="H24" s="35" t="s">
        <v>67</v>
      </c>
      <c r="I24" s="35" t="s">
        <v>67</v>
      </c>
      <c r="L24" s="68" t="str">
        <f>IFERROR(H24-'Nátok z PRDS'!H24,"N/A")</f>
        <v>N/A</v>
      </c>
    </row>
    <row r="25" spans="1:12" x14ac:dyDescent="0.25">
      <c r="A25" s="199"/>
      <c r="B25" s="200"/>
      <c r="C25" s="81" t="s">
        <v>182</v>
      </c>
      <c r="D25" s="200"/>
      <c r="E25" s="207"/>
      <c r="F25" s="35">
        <f>+F23+F24</f>
        <v>17.613</v>
      </c>
      <c r="G25" s="35">
        <f>+G23+G24</f>
        <v>21.344000000000001</v>
      </c>
      <c r="H25" s="35">
        <f>+G25-F25</f>
        <v>3.7310000000000016</v>
      </c>
      <c r="I25" s="50">
        <f>+ROUND(IF(H25&gt;0,H25*E23,0),4)</f>
        <v>0</v>
      </c>
      <c r="L25" s="68">
        <f>IFERROR(H25-'Nátok z PRDS'!H25,"N/A")</f>
        <v>3.7310000000000016</v>
      </c>
    </row>
    <row r="26" spans="1:12" x14ac:dyDescent="0.25">
      <c r="A26" s="199"/>
      <c r="B26" s="200"/>
      <c r="C26" s="81" t="s">
        <v>180</v>
      </c>
      <c r="D26" s="200" t="s">
        <v>249</v>
      </c>
      <c r="E26" s="205"/>
      <c r="F26" s="39"/>
      <c r="G26" s="39"/>
      <c r="H26" s="35" t="s">
        <v>67</v>
      </c>
      <c r="I26" s="35" t="s">
        <v>67</v>
      </c>
      <c r="L26" s="68" t="str">
        <f>IFERROR(H26-'Nátok z PRDS'!H26,"N/A")</f>
        <v>N/A</v>
      </c>
    </row>
    <row r="27" spans="1:12" x14ac:dyDescent="0.25">
      <c r="A27" s="199"/>
      <c r="B27" s="200"/>
      <c r="C27" s="81" t="s">
        <v>164</v>
      </c>
      <c r="D27" s="200"/>
      <c r="E27" s="206"/>
      <c r="F27" s="39"/>
      <c r="G27" s="39"/>
      <c r="H27" s="35" t="s">
        <v>67</v>
      </c>
      <c r="I27" s="35" t="s">
        <v>67</v>
      </c>
      <c r="L27" s="68" t="str">
        <f>IFERROR(H27-'Nátok z PRDS'!H27,"N/A")</f>
        <v>N/A</v>
      </c>
    </row>
    <row r="28" spans="1:12" x14ac:dyDescent="0.25">
      <c r="A28" s="199"/>
      <c r="B28" s="200"/>
      <c r="C28" s="81" t="s">
        <v>181</v>
      </c>
      <c r="D28" s="200"/>
      <c r="E28" s="207"/>
      <c r="F28" s="35">
        <f>+F26+F27</f>
        <v>0</v>
      </c>
      <c r="G28" s="35">
        <f t="shared" ref="G28" si="7">+G26+G27</f>
        <v>0</v>
      </c>
      <c r="H28" s="35">
        <f>+G28-F28</f>
        <v>0</v>
      </c>
      <c r="I28" s="50">
        <f>+ROUND(IF(H28&gt;0,H28*E26,0),4)</f>
        <v>0</v>
      </c>
      <c r="L28" s="68">
        <f>IFERROR(H28-'Nátok z PRDS'!H28,"N/A")</f>
        <v>0</v>
      </c>
    </row>
    <row r="29" spans="1:12" x14ac:dyDescent="0.25">
      <c r="A29" s="199" t="s">
        <v>63</v>
      </c>
      <c r="B29" s="200" t="s">
        <v>177</v>
      </c>
      <c r="C29" s="81" t="s">
        <v>162</v>
      </c>
      <c r="D29" s="128"/>
      <c r="E29" s="117"/>
      <c r="F29" s="39">
        <v>0.2954</v>
      </c>
      <c r="G29" s="39">
        <v>0.34860000000000002</v>
      </c>
      <c r="H29" s="35">
        <f>+G29-F29</f>
        <v>5.3200000000000025E-2</v>
      </c>
      <c r="I29" s="50">
        <f t="shared" ref="I29" si="8">+ROUND(IF(H29&gt;0,H29*E29,0),4)</f>
        <v>0</v>
      </c>
      <c r="L29" s="68">
        <f>IFERROR(H29-'Nátok z PRDS'!H29,"N/A")</f>
        <v>5.3200000000000025E-2</v>
      </c>
    </row>
    <row r="30" spans="1:12" x14ac:dyDescent="0.25">
      <c r="A30" s="199"/>
      <c r="B30" s="200"/>
      <c r="C30" s="81" t="s">
        <v>179</v>
      </c>
      <c r="D30" s="200" t="s">
        <v>249</v>
      </c>
      <c r="E30" s="205">
        <v>0</v>
      </c>
      <c r="F30" s="39">
        <v>5.2</v>
      </c>
      <c r="G30" s="39">
        <v>5.0999999999999996</v>
      </c>
      <c r="H30" s="35" t="s">
        <v>67</v>
      </c>
      <c r="I30" s="35" t="s">
        <v>67</v>
      </c>
      <c r="L30" s="68" t="str">
        <f>IFERROR(H30-'Nátok z PRDS'!H30,"N/A")</f>
        <v>N/A</v>
      </c>
    </row>
    <row r="31" spans="1:12" x14ac:dyDescent="0.25">
      <c r="A31" s="199"/>
      <c r="B31" s="200"/>
      <c r="C31" s="81" t="s">
        <v>164</v>
      </c>
      <c r="D31" s="200"/>
      <c r="E31" s="206"/>
      <c r="F31" s="39">
        <v>12.413</v>
      </c>
      <c r="G31" s="39">
        <v>16.244</v>
      </c>
      <c r="H31" s="35" t="s">
        <v>67</v>
      </c>
      <c r="I31" s="35" t="s">
        <v>67</v>
      </c>
      <c r="L31" s="68" t="str">
        <f>IFERROR(H31-'Nátok z PRDS'!H31,"N/A")</f>
        <v>N/A</v>
      </c>
    </row>
    <row r="32" spans="1:12" x14ac:dyDescent="0.25">
      <c r="A32" s="199"/>
      <c r="B32" s="200"/>
      <c r="C32" s="81" t="s">
        <v>182</v>
      </c>
      <c r="D32" s="200"/>
      <c r="E32" s="207"/>
      <c r="F32" s="35">
        <f>+F30+F31</f>
        <v>17.613</v>
      </c>
      <c r="G32" s="35">
        <f t="shared" ref="G32" si="9">+G30+G31</f>
        <v>21.344000000000001</v>
      </c>
      <c r="H32" s="35">
        <f>+G32-F32</f>
        <v>3.7310000000000016</v>
      </c>
      <c r="I32" s="50">
        <f>+ROUND(IF(H32&gt;0,H32*E30,0),4)</f>
        <v>0</v>
      </c>
      <c r="L32" s="68">
        <f>IFERROR(H32-'Nátok z PRDS'!H32,"N/A")</f>
        <v>3.7310000000000016</v>
      </c>
    </row>
    <row r="33" spans="1:12" x14ac:dyDescent="0.25">
      <c r="A33" s="199"/>
      <c r="B33" s="200"/>
      <c r="C33" s="81" t="s">
        <v>180</v>
      </c>
      <c r="D33" s="200" t="s">
        <v>249</v>
      </c>
      <c r="E33" s="205">
        <v>0</v>
      </c>
      <c r="F33" s="39"/>
      <c r="G33" s="39"/>
      <c r="H33" s="35" t="s">
        <v>67</v>
      </c>
      <c r="I33" s="35" t="s">
        <v>67</v>
      </c>
      <c r="L33" s="68" t="str">
        <f>IFERROR(H33-'Nátok z PRDS'!H33,"N/A")</f>
        <v>N/A</v>
      </c>
    </row>
    <row r="34" spans="1:12" x14ac:dyDescent="0.25">
      <c r="A34" s="199"/>
      <c r="B34" s="200"/>
      <c r="C34" s="81" t="s">
        <v>164</v>
      </c>
      <c r="D34" s="200"/>
      <c r="E34" s="206"/>
      <c r="F34" s="39"/>
      <c r="G34" s="39"/>
      <c r="H34" s="35" t="s">
        <v>67</v>
      </c>
      <c r="I34" s="35" t="s">
        <v>67</v>
      </c>
      <c r="L34" s="68" t="str">
        <f>IFERROR(H34-'Nátok z PRDS'!H34,"N/A")</f>
        <v>N/A</v>
      </c>
    </row>
    <row r="35" spans="1:12" x14ac:dyDescent="0.25">
      <c r="A35" s="199"/>
      <c r="B35" s="200"/>
      <c r="C35" s="81" t="s">
        <v>181</v>
      </c>
      <c r="D35" s="200"/>
      <c r="E35" s="207"/>
      <c r="F35" s="35">
        <f>+F33+F34</f>
        <v>0</v>
      </c>
      <c r="G35" s="35">
        <f t="shared" ref="G35" si="10">+G33+G34</f>
        <v>0</v>
      </c>
      <c r="H35" s="35">
        <f>+G35-F35</f>
        <v>0</v>
      </c>
      <c r="I35" s="50">
        <f>+ROUND(IF(H35&gt;0,H35*E33,0),4)</f>
        <v>0</v>
      </c>
      <c r="L35" s="68">
        <f>IFERROR(H35-'Nátok z PRDS'!H35,"N/A")</f>
        <v>0</v>
      </c>
    </row>
    <row r="36" spans="1:12" x14ac:dyDescent="0.25">
      <c r="A36" s="199" t="s">
        <v>63</v>
      </c>
      <c r="B36" s="200" t="s">
        <v>200</v>
      </c>
      <c r="C36" s="81" t="s">
        <v>162</v>
      </c>
      <c r="D36" s="128"/>
      <c r="E36" s="117"/>
      <c r="F36" s="39">
        <v>0.2954</v>
      </c>
      <c r="G36" s="39">
        <v>0.34860000000000002</v>
      </c>
      <c r="H36" s="35">
        <f>+G36-F36</f>
        <v>5.3200000000000025E-2</v>
      </c>
      <c r="I36" s="50">
        <f t="shared" ref="I36" si="11">+ROUND(IF(H36&gt;0,H36*E36,0),4)</f>
        <v>0</v>
      </c>
      <c r="L36" s="68">
        <f>IFERROR(H36-'Nátok z PRDS'!H36,"N/A")</f>
        <v>5.3200000000000025E-2</v>
      </c>
    </row>
    <row r="37" spans="1:12" x14ac:dyDescent="0.25">
      <c r="A37" s="199"/>
      <c r="B37" s="200"/>
      <c r="C37" s="81" t="s">
        <v>179</v>
      </c>
      <c r="D37" s="200" t="s">
        <v>249</v>
      </c>
      <c r="E37" s="205">
        <v>0</v>
      </c>
      <c r="F37" s="39">
        <v>5.2</v>
      </c>
      <c r="G37" s="39">
        <v>5.0999999999999996</v>
      </c>
      <c r="H37" s="35" t="s">
        <v>67</v>
      </c>
      <c r="I37" s="35" t="s">
        <v>67</v>
      </c>
      <c r="L37" s="68" t="str">
        <f>IFERROR(H37-'Nátok z PRDS'!H37,"N/A")</f>
        <v>N/A</v>
      </c>
    </row>
    <row r="38" spans="1:12" x14ac:dyDescent="0.25">
      <c r="A38" s="199"/>
      <c r="B38" s="200"/>
      <c r="C38" s="81" t="s">
        <v>164</v>
      </c>
      <c r="D38" s="200"/>
      <c r="E38" s="206"/>
      <c r="F38" s="39">
        <v>12.413</v>
      </c>
      <c r="G38" s="39">
        <v>16.244</v>
      </c>
      <c r="H38" s="35" t="s">
        <v>67</v>
      </c>
      <c r="I38" s="35" t="s">
        <v>67</v>
      </c>
      <c r="L38" s="68" t="str">
        <f>IFERROR(H38-'Nátok z PRDS'!H38,"N/A")</f>
        <v>N/A</v>
      </c>
    </row>
    <row r="39" spans="1:12" x14ac:dyDescent="0.25">
      <c r="A39" s="199"/>
      <c r="B39" s="200"/>
      <c r="C39" s="81" t="s">
        <v>182</v>
      </c>
      <c r="D39" s="200"/>
      <c r="E39" s="207"/>
      <c r="F39" s="35">
        <f>+F37+F38</f>
        <v>17.613</v>
      </c>
      <c r="G39" s="35">
        <f t="shared" ref="G39" si="12">+G37+G38</f>
        <v>21.344000000000001</v>
      </c>
      <c r="H39" s="35">
        <f>+G39-F39</f>
        <v>3.7310000000000016</v>
      </c>
      <c r="I39" s="50">
        <f>+ROUND(IF(H39&gt;0,H39*E37,0),4)</f>
        <v>0</v>
      </c>
      <c r="L39" s="68">
        <f>IFERROR(H39-'Nátok z PRDS'!H39,"N/A")</f>
        <v>3.7310000000000016</v>
      </c>
    </row>
    <row r="40" spans="1:12" x14ac:dyDescent="0.25">
      <c r="A40" s="199"/>
      <c r="B40" s="200"/>
      <c r="C40" s="81" t="s">
        <v>180</v>
      </c>
      <c r="D40" s="200" t="s">
        <v>249</v>
      </c>
      <c r="E40" s="205">
        <v>0</v>
      </c>
      <c r="F40" s="39"/>
      <c r="G40" s="39"/>
      <c r="H40" s="35" t="s">
        <v>67</v>
      </c>
      <c r="I40" s="35" t="s">
        <v>67</v>
      </c>
      <c r="L40" s="68" t="str">
        <f>IFERROR(H40-'Nátok z PRDS'!H40,"N/A")</f>
        <v>N/A</v>
      </c>
    </row>
    <row r="41" spans="1:12" x14ac:dyDescent="0.25">
      <c r="A41" s="199"/>
      <c r="B41" s="200"/>
      <c r="C41" s="81" t="s">
        <v>164</v>
      </c>
      <c r="D41" s="200"/>
      <c r="E41" s="206"/>
      <c r="F41" s="39"/>
      <c r="G41" s="39"/>
      <c r="H41" s="35" t="s">
        <v>67</v>
      </c>
      <c r="I41" s="35" t="s">
        <v>67</v>
      </c>
      <c r="L41" s="68" t="str">
        <f>IFERROR(H41-'Nátok z PRDS'!H41,"N/A")</f>
        <v>N/A</v>
      </c>
    </row>
    <row r="42" spans="1:12" x14ac:dyDescent="0.25">
      <c r="A42" s="199"/>
      <c r="B42" s="200"/>
      <c r="C42" s="81" t="s">
        <v>181</v>
      </c>
      <c r="D42" s="200"/>
      <c r="E42" s="207"/>
      <c r="F42" s="35">
        <f>+F40+F41</f>
        <v>0</v>
      </c>
      <c r="G42" s="35">
        <f t="shared" ref="G42" si="13">+G40+G41</f>
        <v>0</v>
      </c>
      <c r="H42" s="35">
        <f>+G42-F42</f>
        <v>0</v>
      </c>
      <c r="I42" s="50">
        <f>+ROUND(IF(H42&gt;0,H42*E40,0),4)</f>
        <v>0</v>
      </c>
      <c r="L42" s="68">
        <f>IFERROR(H42-'Nátok z PRDS'!H42,"N/A")</f>
        <v>0</v>
      </c>
    </row>
    <row r="43" spans="1:12" x14ac:dyDescent="0.25">
      <c r="A43" s="199" t="s">
        <v>63</v>
      </c>
      <c r="B43" s="200" t="s">
        <v>199</v>
      </c>
      <c r="C43" s="81" t="s">
        <v>162</v>
      </c>
      <c r="D43" s="128"/>
      <c r="E43" s="117"/>
      <c r="F43" s="39"/>
      <c r="G43" s="39"/>
      <c r="H43" s="35">
        <f>+G43-F43</f>
        <v>0</v>
      </c>
      <c r="I43" s="50">
        <f>+ROUND(IF(H43&gt;0,H43*E43,0),4)</f>
        <v>0</v>
      </c>
      <c r="L43" s="68">
        <f>IFERROR(H43-'Nátok z PRDS'!H43,"N/A")</f>
        <v>0</v>
      </c>
    </row>
    <row r="44" spans="1:12" x14ac:dyDescent="0.25">
      <c r="A44" s="199"/>
      <c r="B44" s="200"/>
      <c r="C44" s="81" t="s">
        <v>179</v>
      </c>
      <c r="D44" s="200" t="s">
        <v>249</v>
      </c>
      <c r="E44" s="205">
        <v>0</v>
      </c>
      <c r="F44" s="39"/>
      <c r="G44" s="39"/>
      <c r="H44" s="35" t="s">
        <v>67</v>
      </c>
      <c r="I44" s="35" t="s">
        <v>67</v>
      </c>
      <c r="L44" s="68" t="str">
        <f>IFERROR(H44-'Nátok z PRDS'!H44,"N/A")</f>
        <v>N/A</v>
      </c>
    </row>
    <row r="45" spans="1:12" x14ac:dyDescent="0.25">
      <c r="A45" s="199"/>
      <c r="B45" s="200"/>
      <c r="C45" s="81" t="s">
        <v>164</v>
      </c>
      <c r="D45" s="200"/>
      <c r="E45" s="206"/>
      <c r="F45" s="39"/>
      <c r="G45" s="39"/>
      <c r="H45" s="35" t="s">
        <v>67</v>
      </c>
      <c r="I45" s="35" t="s">
        <v>67</v>
      </c>
      <c r="L45" s="68" t="str">
        <f>IFERROR(H45-'Nátok z PRDS'!H45,"N/A")</f>
        <v>N/A</v>
      </c>
    </row>
    <row r="46" spans="1:12" x14ac:dyDescent="0.25">
      <c r="A46" s="199"/>
      <c r="B46" s="200"/>
      <c r="C46" s="81" t="s">
        <v>182</v>
      </c>
      <c r="D46" s="200"/>
      <c r="E46" s="207"/>
      <c r="F46" s="35">
        <f>+F44+F45</f>
        <v>0</v>
      </c>
      <c r="G46" s="35">
        <f t="shared" ref="G46" si="14">+G44+G45</f>
        <v>0</v>
      </c>
      <c r="H46" s="35">
        <f>+G46-F46</f>
        <v>0</v>
      </c>
      <c r="I46" s="50">
        <f>+ROUND(IF(H46&gt;0,H46*E44,0),4)</f>
        <v>0</v>
      </c>
      <c r="L46" s="68">
        <f>IFERROR(H46-'Nátok z PRDS'!H46,"N/A")</f>
        <v>0</v>
      </c>
    </row>
    <row r="47" spans="1:12" x14ac:dyDescent="0.25">
      <c r="A47" s="199"/>
      <c r="B47" s="200"/>
      <c r="C47" s="81" t="s">
        <v>180</v>
      </c>
      <c r="D47" s="200" t="s">
        <v>249</v>
      </c>
      <c r="E47" s="205">
        <v>0</v>
      </c>
      <c r="F47" s="39"/>
      <c r="G47" s="39"/>
      <c r="H47" s="35" t="s">
        <v>67</v>
      </c>
      <c r="I47" s="35" t="s">
        <v>67</v>
      </c>
      <c r="L47" s="68" t="str">
        <f>IFERROR(H47-'Nátok z PRDS'!H47,"N/A")</f>
        <v>N/A</v>
      </c>
    </row>
    <row r="48" spans="1:12" x14ac:dyDescent="0.25">
      <c r="A48" s="199"/>
      <c r="B48" s="200"/>
      <c r="C48" s="81" t="s">
        <v>164</v>
      </c>
      <c r="D48" s="200"/>
      <c r="E48" s="206"/>
      <c r="F48" s="39"/>
      <c r="G48" s="39"/>
      <c r="H48" s="35" t="s">
        <v>67</v>
      </c>
      <c r="I48" s="35" t="s">
        <v>67</v>
      </c>
      <c r="L48" s="68" t="str">
        <f>IFERROR(H48-'Nátok z PRDS'!H48,"N/A")</f>
        <v>N/A</v>
      </c>
    </row>
    <row r="49" spans="1:12" x14ac:dyDescent="0.25">
      <c r="A49" s="199"/>
      <c r="B49" s="200"/>
      <c r="C49" s="81" t="s">
        <v>181</v>
      </c>
      <c r="D49" s="200"/>
      <c r="E49" s="207"/>
      <c r="F49" s="35">
        <f>+F47+F48</f>
        <v>0</v>
      </c>
      <c r="G49" s="35">
        <f t="shared" ref="G49" si="15">+G47+G48</f>
        <v>0</v>
      </c>
      <c r="H49" s="35">
        <f>+G49-F49</f>
        <v>0</v>
      </c>
      <c r="I49" s="50">
        <f>+ROUND(IF(H49&gt;0,H49*E47,0),4)</f>
        <v>0</v>
      </c>
      <c r="L49" s="68">
        <f>IFERROR(H49-'Nátok z PRDS'!H49,"N/A")</f>
        <v>0</v>
      </c>
    </row>
    <row r="50" spans="1:12" x14ac:dyDescent="0.25">
      <c r="A50" s="199" t="s">
        <v>63</v>
      </c>
      <c r="B50" s="200" t="s">
        <v>198</v>
      </c>
      <c r="C50" s="81" t="s">
        <v>162</v>
      </c>
      <c r="D50" s="128"/>
      <c r="E50" s="117"/>
      <c r="F50" s="39"/>
      <c r="G50" s="39"/>
      <c r="H50" s="35">
        <f>+G50-F50</f>
        <v>0</v>
      </c>
      <c r="I50" s="50">
        <f>+ROUND(IF(H50&gt;0,H50*E50,0),4)</f>
        <v>0</v>
      </c>
      <c r="L50" s="68">
        <f>IFERROR(H50-'Nátok z PRDS'!H50,"N/A")</f>
        <v>0</v>
      </c>
    </row>
    <row r="51" spans="1:12" x14ac:dyDescent="0.25">
      <c r="A51" s="199"/>
      <c r="B51" s="200"/>
      <c r="C51" s="81" t="s">
        <v>179</v>
      </c>
      <c r="D51" s="200" t="s">
        <v>249</v>
      </c>
      <c r="E51" s="205">
        <v>0</v>
      </c>
      <c r="F51" s="39"/>
      <c r="G51" s="39"/>
      <c r="H51" s="35" t="s">
        <v>67</v>
      </c>
      <c r="I51" s="35" t="s">
        <v>67</v>
      </c>
      <c r="L51" s="68" t="str">
        <f>IFERROR(H51-'Nátok z PRDS'!H51,"N/A")</f>
        <v>N/A</v>
      </c>
    </row>
    <row r="52" spans="1:12" x14ac:dyDescent="0.25">
      <c r="A52" s="199"/>
      <c r="B52" s="200"/>
      <c r="C52" s="81" t="s">
        <v>164</v>
      </c>
      <c r="D52" s="200"/>
      <c r="E52" s="206"/>
      <c r="F52" s="39"/>
      <c r="G52" s="39"/>
      <c r="H52" s="35" t="s">
        <v>67</v>
      </c>
      <c r="I52" s="35" t="s">
        <v>67</v>
      </c>
      <c r="L52" s="68" t="str">
        <f>IFERROR(H52-'Nátok z PRDS'!H52,"N/A")</f>
        <v>N/A</v>
      </c>
    </row>
    <row r="53" spans="1:12" x14ac:dyDescent="0.25">
      <c r="A53" s="199"/>
      <c r="B53" s="200"/>
      <c r="C53" s="81" t="s">
        <v>182</v>
      </c>
      <c r="D53" s="200"/>
      <c r="E53" s="207"/>
      <c r="F53" s="35">
        <f>+F51+F52</f>
        <v>0</v>
      </c>
      <c r="G53" s="35">
        <f t="shared" ref="G53" si="16">+G51+G52</f>
        <v>0</v>
      </c>
      <c r="H53" s="35">
        <f>+G53-F53</f>
        <v>0</v>
      </c>
      <c r="I53" s="50">
        <f>+ROUND(IF(H53&gt;0,H53*E51,0),4)</f>
        <v>0</v>
      </c>
      <c r="L53" s="68">
        <f>IFERROR(H53-'Nátok z PRDS'!H53,"N/A")</f>
        <v>0</v>
      </c>
    </row>
    <row r="54" spans="1:12" x14ac:dyDescent="0.25">
      <c r="A54" s="199"/>
      <c r="B54" s="200"/>
      <c r="C54" s="81" t="s">
        <v>180</v>
      </c>
      <c r="D54" s="200" t="s">
        <v>249</v>
      </c>
      <c r="E54" s="205">
        <v>0</v>
      </c>
      <c r="F54" s="39"/>
      <c r="G54" s="39"/>
      <c r="H54" s="35" t="s">
        <v>67</v>
      </c>
      <c r="I54" s="35" t="s">
        <v>67</v>
      </c>
      <c r="L54" s="68" t="str">
        <f>IFERROR(H54-'Nátok z PRDS'!H54,"N/A")</f>
        <v>N/A</v>
      </c>
    </row>
    <row r="55" spans="1:12" x14ac:dyDescent="0.25">
      <c r="A55" s="199"/>
      <c r="B55" s="200"/>
      <c r="C55" s="81" t="s">
        <v>164</v>
      </c>
      <c r="D55" s="200"/>
      <c r="E55" s="206"/>
      <c r="F55" s="39"/>
      <c r="G55" s="39"/>
      <c r="H55" s="35" t="s">
        <v>67</v>
      </c>
      <c r="I55" s="35" t="s">
        <v>67</v>
      </c>
      <c r="L55" s="68" t="str">
        <f>IFERROR(H55-'Nátok z PRDS'!H55,"N/A")</f>
        <v>N/A</v>
      </c>
    </row>
    <row r="56" spans="1:12" x14ac:dyDescent="0.25">
      <c r="A56" s="199"/>
      <c r="B56" s="200"/>
      <c r="C56" s="81" t="s">
        <v>181</v>
      </c>
      <c r="D56" s="200"/>
      <c r="E56" s="207"/>
      <c r="F56" s="35">
        <f>+F54+F55</f>
        <v>0</v>
      </c>
      <c r="G56" s="35">
        <f t="shared" ref="G56" si="17">+G54+G55</f>
        <v>0</v>
      </c>
      <c r="H56" s="35">
        <f>+G56-F56</f>
        <v>0</v>
      </c>
      <c r="I56" s="50">
        <f>+ROUND(IF(H56&gt;0,H56*E54,0),4)</f>
        <v>0</v>
      </c>
      <c r="L56" s="68">
        <f>IFERROR(H56-'Nátok z PRDS'!H56,"N/A")</f>
        <v>0</v>
      </c>
    </row>
    <row r="57" spans="1:12" x14ac:dyDescent="0.25">
      <c r="A57" s="199" t="s">
        <v>63</v>
      </c>
      <c r="B57" s="200" t="s">
        <v>224</v>
      </c>
      <c r="C57" s="81" t="s">
        <v>162</v>
      </c>
      <c r="D57" s="128"/>
      <c r="E57" s="117"/>
      <c r="F57" s="39"/>
      <c r="G57" s="39"/>
      <c r="H57" s="35">
        <f>+G57-F57</f>
        <v>0</v>
      </c>
      <c r="I57" s="50">
        <f t="shared" ref="I57" si="18">+ROUND(IF(H57&gt;0,H57*E57,0),4)</f>
        <v>0</v>
      </c>
      <c r="L57" s="68">
        <f>IFERROR(H57-'Nátok z PRDS'!H57,"N/A")</f>
        <v>0</v>
      </c>
    </row>
    <row r="58" spans="1:12" x14ac:dyDescent="0.25">
      <c r="A58" s="199"/>
      <c r="B58" s="200"/>
      <c r="C58" s="81" t="s">
        <v>179</v>
      </c>
      <c r="D58" s="200" t="s">
        <v>249</v>
      </c>
      <c r="E58" s="205">
        <v>0</v>
      </c>
      <c r="F58" s="39"/>
      <c r="G58" s="39"/>
      <c r="H58" s="35" t="s">
        <v>67</v>
      </c>
      <c r="I58" s="35" t="s">
        <v>67</v>
      </c>
      <c r="L58" s="68" t="str">
        <f>IFERROR(H58-'Nátok z PRDS'!H58,"N/A")</f>
        <v>N/A</v>
      </c>
    </row>
    <row r="59" spans="1:12" x14ac:dyDescent="0.25">
      <c r="A59" s="199"/>
      <c r="B59" s="200"/>
      <c r="C59" s="81" t="s">
        <v>164</v>
      </c>
      <c r="D59" s="200"/>
      <c r="E59" s="206"/>
      <c r="F59" s="39"/>
      <c r="G59" s="39"/>
      <c r="H59" s="35" t="s">
        <v>67</v>
      </c>
      <c r="I59" s="35" t="s">
        <v>67</v>
      </c>
      <c r="L59" s="68" t="str">
        <f>IFERROR(H59-'Nátok z PRDS'!H59,"N/A")</f>
        <v>N/A</v>
      </c>
    </row>
    <row r="60" spans="1:12" x14ac:dyDescent="0.25">
      <c r="A60" s="199"/>
      <c r="B60" s="200"/>
      <c r="C60" s="81" t="s">
        <v>182</v>
      </c>
      <c r="D60" s="200"/>
      <c r="E60" s="207"/>
      <c r="F60" s="35">
        <f>+F58+F59</f>
        <v>0</v>
      </c>
      <c r="G60" s="35">
        <f t="shared" ref="G60" si="19">+G58+G59</f>
        <v>0</v>
      </c>
      <c r="H60" s="35">
        <f>+G60-F60</f>
        <v>0</v>
      </c>
      <c r="I60" s="50">
        <f>+ROUND(IF(H60&gt;0,H60*E58,0),4)</f>
        <v>0</v>
      </c>
      <c r="L60" s="68">
        <f>IFERROR(H60-'Nátok z PRDS'!H60,"N/A")</f>
        <v>0</v>
      </c>
    </row>
    <row r="61" spans="1:12" x14ac:dyDescent="0.25">
      <c r="A61" s="199"/>
      <c r="B61" s="200"/>
      <c r="C61" s="81" t="s">
        <v>180</v>
      </c>
      <c r="D61" s="200" t="s">
        <v>249</v>
      </c>
      <c r="E61" s="205">
        <v>0</v>
      </c>
      <c r="F61" s="39"/>
      <c r="G61" s="39"/>
      <c r="H61" s="35" t="s">
        <v>67</v>
      </c>
      <c r="I61" s="35" t="s">
        <v>67</v>
      </c>
      <c r="L61" s="68" t="str">
        <f>IFERROR(H61-'Nátok z PRDS'!H61,"N/A")</f>
        <v>N/A</v>
      </c>
    </row>
    <row r="62" spans="1:12" x14ac:dyDescent="0.25">
      <c r="A62" s="199"/>
      <c r="B62" s="200"/>
      <c r="C62" s="81" t="s">
        <v>164</v>
      </c>
      <c r="D62" s="200"/>
      <c r="E62" s="206"/>
      <c r="F62" s="39"/>
      <c r="G62" s="39"/>
      <c r="H62" s="35" t="s">
        <v>67</v>
      </c>
      <c r="I62" s="35" t="s">
        <v>67</v>
      </c>
      <c r="L62" s="68" t="str">
        <f>IFERROR(H62-'Nátok z PRDS'!H62,"N/A")</f>
        <v>N/A</v>
      </c>
    </row>
    <row r="63" spans="1:12" x14ac:dyDescent="0.25">
      <c r="A63" s="199"/>
      <c r="B63" s="200"/>
      <c r="C63" s="81" t="s">
        <v>181</v>
      </c>
      <c r="D63" s="200"/>
      <c r="E63" s="207"/>
      <c r="F63" s="35">
        <f>+F61+F62</f>
        <v>0</v>
      </c>
      <c r="G63" s="35">
        <f t="shared" ref="G63" si="20">+G61+G62</f>
        <v>0</v>
      </c>
      <c r="H63" s="35">
        <f>+G63-F63</f>
        <v>0</v>
      </c>
      <c r="I63" s="50">
        <f>+ROUND(IF(H63&gt;0,H63*E61,0),4)</f>
        <v>0</v>
      </c>
      <c r="L63" s="68">
        <f>IFERROR(H63-'Nátok z PRDS'!H63,"N/A")</f>
        <v>0</v>
      </c>
    </row>
    <row r="64" spans="1:12" x14ac:dyDescent="0.25">
      <c r="A64" s="199" t="s">
        <v>235</v>
      </c>
      <c r="B64" s="200" t="s">
        <v>225</v>
      </c>
      <c r="C64" s="81" t="s">
        <v>162</v>
      </c>
      <c r="D64" s="128"/>
      <c r="E64" s="117"/>
      <c r="F64" s="39"/>
      <c r="G64" s="39"/>
      <c r="H64" s="35">
        <f>+G64-F64</f>
        <v>0</v>
      </c>
      <c r="I64" s="50">
        <f t="shared" ref="I64" si="21">+ROUND(IF(H64&gt;0,H64*E64,0),4)</f>
        <v>0</v>
      </c>
      <c r="L64" s="68">
        <f>IFERROR(H64-'Nátok z PRDS'!H64,"N/A")</f>
        <v>0</v>
      </c>
    </row>
    <row r="65" spans="1:12" x14ac:dyDescent="0.25">
      <c r="A65" s="199"/>
      <c r="B65" s="200"/>
      <c r="C65" s="81" t="s">
        <v>226</v>
      </c>
      <c r="D65" s="200" t="s">
        <v>249</v>
      </c>
      <c r="E65" s="205">
        <v>0</v>
      </c>
      <c r="F65" s="39"/>
      <c r="G65" s="39"/>
      <c r="H65" s="35" t="s">
        <v>67</v>
      </c>
      <c r="I65" s="35" t="s">
        <v>67</v>
      </c>
      <c r="L65" s="68" t="str">
        <f>IFERROR(H65-'Nátok z PRDS'!H65,"N/A")</f>
        <v>N/A</v>
      </c>
    </row>
    <row r="66" spans="1:12" x14ac:dyDescent="0.25">
      <c r="A66" s="199"/>
      <c r="B66" s="200"/>
      <c r="C66" s="81" t="s">
        <v>164</v>
      </c>
      <c r="D66" s="200"/>
      <c r="E66" s="206"/>
      <c r="F66" s="39"/>
      <c r="G66" s="39"/>
      <c r="H66" s="35" t="s">
        <v>67</v>
      </c>
      <c r="I66" s="35" t="s">
        <v>67</v>
      </c>
      <c r="L66" s="68" t="str">
        <f>IFERROR(H66-'Nátok z PRDS'!H66,"N/A")</f>
        <v>N/A</v>
      </c>
    </row>
    <row r="67" spans="1:12" x14ac:dyDescent="0.25">
      <c r="A67" s="199"/>
      <c r="B67" s="200"/>
      <c r="C67" s="81" t="s">
        <v>227</v>
      </c>
      <c r="D67" s="200"/>
      <c r="E67" s="207"/>
      <c r="F67" s="35">
        <f>+F65+F66</f>
        <v>0</v>
      </c>
      <c r="G67" s="35">
        <f t="shared" ref="G67" si="22">+G65+G66</f>
        <v>0</v>
      </c>
      <c r="H67" s="35">
        <f>+G67-F67</f>
        <v>0</v>
      </c>
      <c r="I67" s="50">
        <f>+ROUND(IF(H67&gt;0,H67*E65,0),4)</f>
        <v>0</v>
      </c>
      <c r="L67" s="68">
        <f>IFERROR(H67-'Nátok z PRDS'!H67,"N/A")</f>
        <v>0</v>
      </c>
    </row>
    <row r="68" spans="1:12" x14ac:dyDescent="0.25">
      <c r="A68" s="199"/>
      <c r="B68" s="200"/>
      <c r="C68" s="81" t="s">
        <v>179</v>
      </c>
      <c r="D68" s="200" t="s">
        <v>249</v>
      </c>
      <c r="E68" s="205">
        <v>0</v>
      </c>
      <c r="F68" s="39"/>
      <c r="G68" s="39"/>
      <c r="H68" s="35" t="s">
        <v>67</v>
      </c>
      <c r="I68" s="35" t="s">
        <v>67</v>
      </c>
      <c r="L68" s="68" t="str">
        <f>IFERROR(H68-'Nátok z PRDS'!H68,"N/A")</f>
        <v>N/A</v>
      </c>
    </row>
    <row r="69" spans="1:12" x14ac:dyDescent="0.25">
      <c r="A69" s="199"/>
      <c r="B69" s="200"/>
      <c r="C69" s="81" t="s">
        <v>164</v>
      </c>
      <c r="D69" s="200"/>
      <c r="E69" s="206"/>
      <c r="F69" s="39"/>
      <c r="G69" s="39"/>
      <c r="H69" s="35" t="s">
        <v>67</v>
      </c>
      <c r="I69" s="35" t="s">
        <v>67</v>
      </c>
      <c r="L69" s="68" t="str">
        <f>IFERROR(H69-'Nátok z PRDS'!H69,"N/A")</f>
        <v>N/A</v>
      </c>
    </row>
    <row r="70" spans="1:12" x14ac:dyDescent="0.25">
      <c r="A70" s="199"/>
      <c r="B70" s="200"/>
      <c r="C70" s="81" t="s">
        <v>182</v>
      </c>
      <c r="D70" s="200"/>
      <c r="E70" s="207"/>
      <c r="F70" s="35">
        <f>+F68+F69</f>
        <v>0</v>
      </c>
      <c r="G70" s="35">
        <f t="shared" ref="G70" si="23">+G68+G69</f>
        <v>0</v>
      </c>
      <c r="H70" s="35">
        <f>+G70-F70</f>
        <v>0</v>
      </c>
      <c r="I70" s="50">
        <f>+ROUND(IF(H70&gt;0,H70*E68,0),4)</f>
        <v>0</v>
      </c>
      <c r="L70" s="68">
        <f>IFERROR(H70-'Nátok z PRDS'!H70,"N/A")</f>
        <v>0</v>
      </c>
    </row>
    <row r="71" spans="1:12" x14ac:dyDescent="0.25">
      <c r="A71" s="199"/>
      <c r="B71" s="200"/>
      <c r="C71" s="81" t="s">
        <v>180</v>
      </c>
      <c r="D71" s="200" t="s">
        <v>249</v>
      </c>
      <c r="E71" s="205">
        <v>0</v>
      </c>
      <c r="F71" s="39"/>
      <c r="G71" s="39"/>
      <c r="H71" s="35" t="s">
        <v>67</v>
      </c>
      <c r="I71" s="35" t="s">
        <v>67</v>
      </c>
      <c r="L71" s="68" t="str">
        <f>IFERROR(H71-'Nátok z PRDS'!H71,"N/A")</f>
        <v>N/A</v>
      </c>
    </row>
    <row r="72" spans="1:12" x14ac:dyDescent="0.25">
      <c r="A72" s="199"/>
      <c r="B72" s="200"/>
      <c r="C72" s="81" t="s">
        <v>164</v>
      </c>
      <c r="D72" s="200"/>
      <c r="E72" s="206"/>
      <c r="F72" s="39"/>
      <c r="G72" s="39"/>
      <c r="H72" s="35" t="s">
        <v>67</v>
      </c>
      <c r="I72" s="35" t="s">
        <v>67</v>
      </c>
      <c r="L72" s="68" t="str">
        <f>IFERROR(H72-'Nátok z PRDS'!H72,"N/A")</f>
        <v>N/A</v>
      </c>
    </row>
    <row r="73" spans="1:12" x14ac:dyDescent="0.25">
      <c r="A73" s="199"/>
      <c r="B73" s="200"/>
      <c r="C73" s="81" t="s">
        <v>181</v>
      </c>
      <c r="D73" s="200"/>
      <c r="E73" s="207"/>
      <c r="F73" s="35">
        <f>+F71+F72</f>
        <v>0</v>
      </c>
      <c r="G73" s="35">
        <f t="shared" ref="G73" si="24">+G71+G72</f>
        <v>0</v>
      </c>
      <c r="H73" s="35">
        <f>+G73-F73</f>
        <v>0</v>
      </c>
      <c r="I73" s="50">
        <f>+ROUND(IF(H73&gt;0,H73*E71,0),4)</f>
        <v>0</v>
      </c>
      <c r="L73" s="68">
        <f>IFERROR(H73-'Nátok z PRDS'!H73,"N/A")</f>
        <v>0</v>
      </c>
    </row>
    <row r="74" spans="1:12" x14ac:dyDescent="0.25">
      <c r="A74" s="199"/>
      <c r="B74" s="200"/>
      <c r="C74" s="81" t="s">
        <v>228</v>
      </c>
      <c r="D74" s="200" t="s">
        <v>249</v>
      </c>
      <c r="E74" s="205">
        <v>0</v>
      </c>
      <c r="F74" s="39"/>
      <c r="G74" s="39"/>
      <c r="H74" s="35" t="s">
        <v>67</v>
      </c>
      <c r="I74" s="35" t="s">
        <v>67</v>
      </c>
      <c r="L74" s="68" t="str">
        <f>IFERROR(H74-'Nátok z PRDS'!H74,"N/A")</f>
        <v>N/A</v>
      </c>
    </row>
    <row r="75" spans="1:12" x14ac:dyDescent="0.25">
      <c r="A75" s="199"/>
      <c r="B75" s="200"/>
      <c r="C75" s="81" t="s">
        <v>164</v>
      </c>
      <c r="D75" s="200"/>
      <c r="E75" s="206"/>
      <c r="F75" s="39"/>
      <c r="G75" s="39"/>
      <c r="H75" s="35" t="s">
        <v>67</v>
      </c>
      <c r="I75" s="35" t="s">
        <v>67</v>
      </c>
      <c r="L75" s="68" t="str">
        <f>IFERROR(H75-'Nátok z PRDS'!H75,"N/A")</f>
        <v>N/A</v>
      </c>
    </row>
    <row r="76" spans="1:12" x14ac:dyDescent="0.25">
      <c r="A76" s="199"/>
      <c r="B76" s="200"/>
      <c r="C76" s="81" t="s">
        <v>229</v>
      </c>
      <c r="D76" s="200"/>
      <c r="E76" s="207"/>
      <c r="F76" s="35">
        <f>+F74+F75</f>
        <v>0</v>
      </c>
      <c r="G76" s="35">
        <f t="shared" ref="G76" si="25">+G74+G75</f>
        <v>0</v>
      </c>
      <c r="H76" s="35">
        <f>+G76-F76</f>
        <v>0</v>
      </c>
      <c r="I76" s="50">
        <f>+ROUND(IF(H76&gt;0,H76*E74,0),4)</f>
        <v>0</v>
      </c>
      <c r="L76" s="68">
        <f>IFERROR(H76-'Nátok z PRDS'!H76,"N/A")</f>
        <v>0</v>
      </c>
    </row>
    <row r="77" spans="1:12" x14ac:dyDescent="0.25">
      <c r="A77" s="209" t="s">
        <v>63</v>
      </c>
      <c r="B77" s="210" t="s">
        <v>188</v>
      </c>
      <c r="C77" s="109" t="s">
        <v>162</v>
      </c>
      <c r="D77" s="121" t="s">
        <v>67</v>
      </c>
      <c r="E77" s="52" t="s">
        <v>67</v>
      </c>
      <c r="F77" s="52" t="s">
        <v>67</v>
      </c>
      <c r="G77" s="52" t="s">
        <v>67</v>
      </c>
      <c r="H77" s="52" t="s">
        <v>67</v>
      </c>
      <c r="I77" s="52">
        <f>+I5+I9+I10+I14+I21+I22+I29+I36+I43+I50+I57+I64</f>
        <v>0</v>
      </c>
      <c r="L77" s="68" t="str">
        <f>IFERROR(H77-'Nátok z PRDS'!H77,"N/A")</f>
        <v>N/A</v>
      </c>
    </row>
    <row r="78" spans="1:12" x14ac:dyDescent="0.25">
      <c r="A78" s="209"/>
      <c r="B78" s="210"/>
      <c r="C78" s="109" t="s">
        <v>168</v>
      </c>
      <c r="D78" s="121"/>
      <c r="E78" s="52">
        <f>SUM(E6,E11,E15,E18,E23,E26,E30,E33,E37,E40,E44,E47,E51,E54,E58,E61,E65,E68,E71,E74)</f>
        <v>0</v>
      </c>
      <c r="F78" s="52" t="s">
        <v>67</v>
      </c>
      <c r="G78" s="52" t="s">
        <v>67</v>
      </c>
      <c r="H78" s="52" t="s">
        <v>67</v>
      </c>
      <c r="I78" s="52">
        <f>+I8+I13+I17+I20+I25+I28+I32+I35+I39+I42+I46+I49+I53+I56+I60+I63+I67+I70+I73+I76</f>
        <v>0</v>
      </c>
      <c r="L78" s="68" t="str">
        <f>IFERROR(H78-'Nátok z PRDS'!H78,"N/A")</f>
        <v>N/A</v>
      </c>
    </row>
    <row r="79" spans="1:12" x14ac:dyDescent="0.25">
      <c r="A79" s="199" t="s">
        <v>64</v>
      </c>
      <c r="B79" s="200" t="s">
        <v>197</v>
      </c>
      <c r="C79" s="81" t="s">
        <v>230</v>
      </c>
      <c r="D79" s="128" t="s">
        <v>165</v>
      </c>
      <c r="E79" s="117"/>
      <c r="F79" s="39"/>
      <c r="G79" s="39"/>
      <c r="H79" s="35">
        <f>+G79-F79</f>
        <v>0</v>
      </c>
      <c r="I79" s="50">
        <f>+ROUND(IF(H79&gt;0,H79*E79,0),4)</f>
        <v>0</v>
      </c>
      <c r="L79" s="68">
        <f>IFERROR(H79-'Nátok z PRDS'!H79,"N/A")</f>
        <v>0</v>
      </c>
    </row>
    <row r="80" spans="1:12" x14ac:dyDescent="0.25">
      <c r="A80" s="199"/>
      <c r="B80" s="200"/>
      <c r="C80" s="81" t="s">
        <v>231</v>
      </c>
      <c r="D80" s="128" t="s">
        <v>166</v>
      </c>
      <c r="E80" s="117"/>
      <c r="F80" s="39"/>
      <c r="G80" s="39"/>
      <c r="H80" s="35">
        <f>+G80-F80</f>
        <v>0</v>
      </c>
      <c r="I80" s="50">
        <f>+ROUND(IF(H80&gt;0,H80*E80,0),4)</f>
        <v>0</v>
      </c>
      <c r="L80" s="68">
        <f>IFERROR(H80-'Nátok z PRDS'!H80,"N/A")</f>
        <v>0</v>
      </c>
    </row>
    <row r="81" spans="1:12" x14ac:dyDescent="0.25">
      <c r="A81" s="199"/>
      <c r="B81" s="200"/>
      <c r="C81" s="81" t="s">
        <v>163</v>
      </c>
      <c r="D81" s="200" t="s">
        <v>249</v>
      </c>
      <c r="E81" s="205">
        <f>+E82</f>
        <v>0</v>
      </c>
      <c r="F81" s="39"/>
      <c r="G81" s="39"/>
      <c r="H81" s="35" t="s">
        <v>67</v>
      </c>
      <c r="I81" s="35" t="s">
        <v>67</v>
      </c>
      <c r="L81" s="68" t="str">
        <f>IFERROR(H81-'Nátok z PRDS'!H81,"N/A")</f>
        <v>N/A</v>
      </c>
    </row>
    <row r="82" spans="1:12" x14ac:dyDescent="0.25">
      <c r="A82" s="199"/>
      <c r="B82" s="200"/>
      <c r="C82" s="81" t="s">
        <v>164</v>
      </c>
      <c r="D82" s="200"/>
      <c r="E82" s="206"/>
      <c r="F82" s="39"/>
      <c r="G82" s="39"/>
      <c r="H82" s="35" t="s">
        <v>67</v>
      </c>
      <c r="I82" s="35" t="s">
        <v>67</v>
      </c>
      <c r="L82" s="68" t="str">
        <f>IFERROR(H82-'Nátok z PRDS'!H82,"N/A")</f>
        <v>N/A</v>
      </c>
    </row>
    <row r="83" spans="1:12" x14ac:dyDescent="0.25">
      <c r="A83" s="199"/>
      <c r="B83" s="200"/>
      <c r="C83" s="81" t="s">
        <v>168</v>
      </c>
      <c r="D83" s="200"/>
      <c r="E83" s="207"/>
      <c r="F83" s="35">
        <f>+F81+F82</f>
        <v>0</v>
      </c>
      <c r="G83" s="35">
        <f t="shared" ref="G83" si="26">+G81+G82</f>
        <v>0</v>
      </c>
      <c r="H83" s="35">
        <f>+G83-F83</f>
        <v>0</v>
      </c>
      <c r="I83" s="50">
        <f>+ROUND(IF(H83&gt;0,H83*E81,0),4)</f>
        <v>0</v>
      </c>
      <c r="L83" s="68">
        <f>IFERROR(H83-'Nátok z PRDS'!H83,"N/A")</f>
        <v>0</v>
      </c>
    </row>
    <row r="84" spans="1:12" x14ac:dyDescent="0.25">
      <c r="A84" s="199" t="s">
        <v>64</v>
      </c>
      <c r="B84" s="200" t="s">
        <v>171</v>
      </c>
      <c r="C84" s="81" t="s">
        <v>230</v>
      </c>
      <c r="D84" s="128" t="s">
        <v>165</v>
      </c>
      <c r="E84" s="117"/>
      <c r="F84" s="39">
        <v>0.69089999999999996</v>
      </c>
      <c r="G84" s="39">
        <v>0.75760000000000005</v>
      </c>
      <c r="H84" s="35">
        <f>+G84-F84</f>
        <v>6.6700000000000093E-2</v>
      </c>
      <c r="I84" s="50">
        <f t="shared" ref="I84:I85" si="27">+ROUND(IF(H84&gt;0,H84*E84,0),4)</f>
        <v>0</v>
      </c>
      <c r="L84" s="68">
        <f>IFERROR(H84-'Nátok z PRDS'!H84,"N/A")</f>
        <v>6.6700000000000093E-2</v>
      </c>
    </row>
    <row r="85" spans="1:12" x14ac:dyDescent="0.25">
      <c r="A85" s="199"/>
      <c r="B85" s="200"/>
      <c r="C85" s="81" t="s">
        <v>231</v>
      </c>
      <c r="D85" s="128" t="s">
        <v>166</v>
      </c>
      <c r="E85" s="117"/>
      <c r="F85" s="39">
        <v>1.0497000000000001</v>
      </c>
      <c r="G85" s="39">
        <v>1.1511</v>
      </c>
      <c r="H85" s="35">
        <f>+G85-F85</f>
        <v>0.10139999999999993</v>
      </c>
      <c r="I85" s="50">
        <f t="shared" si="27"/>
        <v>0</v>
      </c>
      <c r="L85" s="68">
        <f>IFERROR(H85-'Nátok z PRDS'!H85,"N/A")</f>
        <v>0.10139999999999993</v>
      </c>
    </row>
    <row r="86" spans="1:12" x14ac:dyDescent="0.25">
      <c r="A86" s="199"/>
      <c r="B86" s="200"/>
      <c r="C86" s="81" t="s">
        <v>163</v>
      </c>
      <c r="D86" s="200" t="s">
        <v>249</v>
      </c>
      <c r="E86" s="205">
        <f>+E87</f>
        <v>0</v>
      </c>
      <c r="F86" s="39">
        <v>30.3</v>
      </c>
      <c r="G86" s="39">
        <v>32.9</v>
      </c>
      <c r="H86" s="35" t="s">
        <v>67</v>
      </c>
      <c r="I86" s="35" t="s">
        <v>67</v>
      </c>
      <c r="L86" s="68" t="str">
        <f>IFERROR(H86-'Nátok z PRDS'!H86,"N/A")</f>
        <v>N/A</v>
      </c>
    </row>
    <row r="87" spans="1:12" x14ac:dyDescent="0.25">
      <c r="A87" s="199"/>
      <c r="B87" s="200"/>
      <c r="C87" s="81" t="s">
        <v>164</v>
      </c>
      <c r="D87" s="200"/>
      <c r="E87" s="206"/>
      <c r="F87" s="39">
        <v>12.413</v>
      </c>
      <c r="G87" s="39">
        <v>16.244</v>
      </c>
      <c r="H87" s="35" t="s">
        <v>67</v>
      </c>
      <c r="I87" s="35" t="s">
        <v>67</v>
      </c>
      <c r="L87" s="68" t="str">
        <f>IFERROR(H87-'Nátok z PRDS'!H87,"N/A")</f>
        <v>N/A</v>
      </c>
    </row>
    <row r="88" spans="1:12" x14ac:dyDescent="0.25">
      <c r="A88" s="199"/>
      <c r="B88" s="200"/>
      <c r="C88" s="81" t="s">
        <v>168</v>
      </c>
      <c r="D88" s="200"/>
      <c r="E88" s="207"/>
      <c r="F88" s="35">
        <f>+F86+F87</f>
        <v>42.713000000000001</v>
      </c>
      <c r="G88" s="35">
        <f t="shared" ref="G88" si="28">+G86+G87</f>
        <v>49.143999999999998</v>
      </c>
      <c r="H88" s="35">
        <f>+G88-F88</f>
        <v>6.4309999999999974</v>
      </c>
      <c r="I88" s="50">
        <f>+ROUND(IF(H88&gt;0,H88*E86,0),4)</f>
        <v>0</v>
      </c>
      <c r="L88" s="68">
        <f>IFERROR(H88-'Nátok z PRDS'!H88,"N/A")</f>
        <v>6.4309999999999974</v>
      </c>
    </row>
    <row r="89" spans="1:12" x14ac:dyDescent="0.25">
      <c r="A89" s="199" t="s">
        <v>64</v>
      </c>
      <c r="B89" s="200" t="s">
        <v>196</v>
      </c>
      <c r="C89" s="81" t="s">
        <v>230</v>
      </c>
      <c r="D89" s="128" t="s">
        <v>165</v>
      </c>
      <c r="E89" s="117"/>
      <c r="F89" s="39"/>
      <c r="G89" s="39"/>
      <c r="H89" s="35">
        <f>+G89-F89</f>
        <v>0</v>
      </c>
      <c r="I89" s="50">
        <f t="shared" ref="I89:I90" si="29">+ROUND(IF(H89&gt;0,H89*E89,0),4)</f>
        <v>0</v>
      </c>
      <c r="L89" s="68">
        <f>IFERROR(H89-'Nátok z PRDS'!H89,"N/A")</f>
        <v>0</v>
      </c>
    </row>
    <row r="90" spans="1:12" x14ac:dyDescent="0.25">
      <c r="A90" s="199"/>
      <c r="B90" s="200"/>
      <c r="C90" s="81" t="s">
        <v>231</v>
      </c>
      <c r="D90" s="128" t="s">
        <v>166</v>
      </c>
      <c r="E90" s="117"/>
      <c r="F90" s="39"/>
      <c r="G90" s="39"/>
      <c r="H90" s="35">
        <f>+G90-F90</f>
        <v>0</v>
      </c>
      <c r="I90" s="50">
        <f t="shared" si="29"/>
        <v>0</v>
      </c>
      <c r="L90" s="68">
        <f>IFERROR(H90-'Nátok z PRDS'!H90,"N/A")</f>
        <v>0</v>
      </c>
    </row>
    <row r="91" spans="1:12" x14ac:dyDescent="0.25">
      <c r="A91" s="199"/>
      <c r="B91" s="200"/>
      <c r="C91" s="81" t="s">
        <v>163</v>
      </c>
      <c r="D91" s="200" t="s">
        <v>249</v>
      </c>
      <c r="E91" s="205">
        <f>+E92</f>
        <v>0</v>
      </c>
      <c r="F91" s="39"/>
      <c r="G91" s="39"/>
      <c r="H91" s="35" t="s">
        <v>67</v>
      </c>
      <c r="I91" s="35" t="s">
        <v>67</v>
      </c>
      <c r="L91" s="68" t="str">
        <f>IFERROR(H91-'Nátok z PRDS'!H91,"N/A")</f>
        <v>N/A</v>
      </c>
    </row>
    <row r="92" spans="1:12" x14ac:dyDescent="0.25">
      <c r="A92" s="199"/>
      <c r="B92" s="200"/>
      <c r="C92" s="81" t="s">
        <v>164</v>
      </c>
      <c r="D92" s="200"/>
      <c r="E92" s="206"/>
      <c r="F92" s="39"/>
      <c r="G92" s="39"/>
      <c r="H92" s="35" t="s">
        <v>67</v>
      </c>
      <c r="I92" s="35" t="s">
        <v>67</v>
      </c>
      <c r="L92" s="68" t="str">
        <f>IFERROR(H92-'Nátok z PRDS'!H92,"N/A")</f>
        <v>N/A</v>
      </c>
    </row>
    <row r="93" spans="1:12" x14ac:dyDescent="0.25">
      <c r="A93" s="199"/>
      <c r="B93" s="200"/>
      <c r="C93" s="81" t="s">
        <v>168</v>
      </c>
      <c r="D93" s="200"/>
      <c r="E93" s="207"/>
      <c r="F93" s="35">
        <f>+F91+F92</f>
        <v>0</v>
      </c>
      <c r="G93" s="35">
        <f t="shared" ref="G93" si="30">+G91+G92</f>
        <v>0</v>
      </c>
      <c r="H93" s="35">
        <f>+G93-F93</f>
        <v>0</v>
      </c>
      <c r="I93" s="50">
        <f>+ROUND(IF(H93&gt;0,H93*E91,0),4)</f>
        <v>0</v>
      </c>
      <c r="L93" s="68">
        <f>IFERROR(H93-'Nátok z PRDS'!H93,"N/A")</f>
        <v>0</v>
      </c>
    </row>
    <row r="94" spans="1:12" x14ac:dyDescent="0.25">
      <c r="A94" s="199" t="s">
        <v>64</v>
      </c>
      <c r="B94" s="200" t="s">
        <v>195</v>
      </c>
      <c r="C94" s="81" t="s">
        <v>230</v>
      </c>
      <c r="D94" s="128" t="s">
        <v>165</v>
      </c>
      <c r="E94" s="117"/>
      <c r="F94" s="39"/>
      <c r="G94" s="39"/>
      <c r="H94" s="35">
        <f>+G94-F94</f>
        <v>0</v>
      </c>
      <c r="I94" s="50">
        <f>+ROUND(IF(H94&gt;0,H94*E94,0),4)</f>
        <v>0</v>
      </c>
      <c r="L94" s="68">
        <f>IFERROR(H94-'Nátok z PRDS'!H94,"N/A")</f>
        <v>0</v>
      </c>
    </row>
    <row r="95" spans="1:12" x14ac:dyDescent="0.25">
      <c r="A95" s="199"/>
      <c r="B95" s="200"/>
      <c r="C95" s="81" t="s">
        <v>231</v>
      </c>
      <c r="D95" s="128" t="s">
        <v>166</v>
      </c>
      <c r="E95" s="117"/>
      <c r="F95" s="39"/>
      <c r="G95" s="39"/>
      <c r="H95" s="35">
        <f>+G95-F95</f>
        <v>0</v>
      </c>
      <c r="I95" s="50">
        <f>+ROUND(IF(H95&gt;0,H95*E95,0),4)</f>
        <v>0</v>
      </c>
      <c r="L95" s="68">
        <f>IFERROR(H95-'Nátok z PRDS'!H95,"N/A")</f>
        <v>0</v>
      </c>
    </row>
    <row r="96" spans="1:12" x14ac:dyDescent="0.25">
      <c r="A96" s="199"/>
      <c r="B96" s="200"/>
      <c r="C96" s="81" t="s">
        <v>179</v>
      </c>
      <c r="D96" s="200" t="s">
        <v>249</v>
      </c>
      <c r="E96" s="205">
        <v>0</v>
      </c>
      <c r="F96" s="39"/>
      <c r="G96" s="39"/>
      <c r="H96" s="35" t="s">
        <v>67</v>
      </c>
      <c r="I96" s="35" t="s">
        <v>67</v>
      </c>
      <c r="L96" s="68" t="str">
        <f>IFERROR(H96-'Nátok z PRDS'!H96,"N/A")</f>
        <v>N/A</v>
      </c>
    </row>
    <row r="97" spans="1:12" x14ac:dyDescent="0.25">
      <c r="A97" s="199"/>
      <c r="B97" s="200"/>
      <c r="C97" s="81" t="s">
        <v>164</v>
      </c>
      <c r="D97" s="200"/>
      <c r="E97" s="206"/>
      <c r="F97" s="39"/>
      <c r="G97" s="39"/>
      <c r="H97" s="35" t="s">
        <v>67</v>
      </c>
      <c r="I97" s="35" t="s">
        <v>67</v>
      </c>
      <c r="L97" s="68" t="str">
        <f>IFERROR(H97-'Nátok z PRDS'!H97,"N/A")</f>
        <v>N/A</v>
      </c>
    </row>
    <row r="98" spans="1:12" x14ac:dyDescent="0.25">
      <c r="A98" s="199"/>
      <c r="B98" s="200"/>
      <c r="C98" s="81" t="s">
        <v>182</v>
      </c>
      <c r="D98" s="200"/>
      <c r="E98" s="207"/>
      <c r="F98" s="35">
        <f>+F96+F97</f>
        <v>0</v>
      </c>
      <c r="G98" s="35">
        <f t="shared" ref="G98" si="31">+G96+G97</f>
        <v>0</v>
      </c>
      <c r="H98" s="35">
        <f>+G98-F98</f>
        <v>0</v>
      </c>
      <c r="I98" s="50">
        <f>+ROUND(IF(H98&gt;0,H98*E96,0),4)</f>
        <v>0</v>
      </c>
      <c r="L98" s="68">
        <f>IFERROR(H98-'Nátok z PRDS'!H98,"N/A")</f>
        <v>0</v>
      </c>
    </row>
    <row r="99" spans="1:12" x14ac:dyDescent="0.25">
      <c r="A99" s="199"/>
      <c r="B99" s="200"/>
      <c r="C99" s="81" t="s">
        <v>180</v>
      </c>
      <c r="D99" s="200" t="s">
        <v>249</v>
      </c>
      <c r="E99" s="205">
        <v>0</v>
      </c>
      <c r="F99" s="39"/>
      <c r="G99" s="39"/>
      <c r="H99" s="35" t="s">
        <v>67</v>
      </c>
      <c r="I99" s="35" t="s">
        <v>67</v>
      </c>
      <c r="L99" s="68" t="str">
        <f>IFERROR(H99-'Nátok z PRDS'!H99,"N/A")</f>
        <v>N/A</v>
      </c>
    </row>
    <row r="100" spans="1:12" x14ac:dyDescent="0.25">
      <c r="A100" s="199"/>
      <c r="B100" s="200"/>
      <c r="C100" s="81" t="s">
        <v>164</v>
      </c>
      <c r="D100" s="200"/>
      <c r="E100" s="206"/>
      <c r="F100" s="39"/>
      <c r="G100" s="39"/>
      <c r="H100" s="35" t="s">
        <v>67</v>
      </c>
      <c r="I100" s="35" t="s">
        <v>67</v>
      </c>
      <c r="L100" s="68" t="str">
        <f>IFERROR(H100-'Nátok z PRDS'!H100,"N/A")</f>
        <v>N/A</v>
      </c>
    </row>
    <row r="101" spans="1:12" x14ac:dyDescent="0.25">
      <c r="A101" s="199"/>
      <c r="B101" s="200"/>
      <c r="C101" s="81" t="s">
        <v>181</v>
      </c>
      <c r="D101" s="200"/>
      <c r="E101" s="207"/>
      <c r="F101" s="35">
        <f>+F99+F100</f>
        <v>0</v>
      </c>
      <c r="G101" s="35">
        <f t="shared" ref="G101" si="32">+G99+G100</f>
        <v>0</v>
      </c>
      <c r="H101" s="35">
        <f>+G101-F101</f>
        <v>0</v>
      </c>
      <c r="I101" s="50">
        <f>+ROUND(IF(H101&gt;0,H101*E99,0),4)</f>
        <v>0</v>
      </c>
      <c r="L101" s="68">
        <f>IFERROR(H101-'Nátok z PRDS'!H101,"N/A")</f>
        <v>0</v>
      </c>
    </row>
    <row r="102" spans="1:12" x14ac:dyDescent="0.25">
      <c r="A102" s="199" t="s">
        <v>64</v>
      </c>
      <c r="B102" s="200" t="s">
        <v>194</v>
      </c>
      <c r="C102" s="81" t="s">
        <v>230</v>
      </c>
      <c r="D102" s="128" t="s">
        <v>165</v>
      </c>
      <c r="E102" s="117"/>
      <c r="F102" s="39"/>
      <c r="G102" s="39"/>
      <c r="H102" s="35">
        <f>+G102-F102</f>
        <v>0</v>
      </c>
      <c r="I102" s="50">
        <f t="shared" ref="I102" si="33">+ROUND(IF(H102&gt;0,H102*E102,0),4)</f>
        <v>0</v>
      </c>
      <c r="L102" s="68">
        <f>IFERROR(H102-'Nátok z PRDS'!H102,"N/A")</f>
        <v>0</v>
      </c>
    </row>
    <row r="103" spans="1:12" x14ac:dyDescent="0.25">
      <c r="A103" s="199"/>
      <c r="B103" s="200"/>
      <c r="C103" s="81" t="s">
        <v>231</v>
      </c>
      <c r="D103" s="128" t="s">
        <v>166</v>
      </c>
      <c r="E103" s="117"/>
      <c r="F103" s="39"/>
      <c r="G103" s="39"/>
      <c r="H103" s="35">
        <f>+G103-F103</f>
        <v>0</v>
      </c>
      <c r="I103" s="50">
        <f>+ROUND(IF(H103&gt;0,H103*E103,0),4)</f>
        <v>0</v>
      </c>
      <c r="L103" s="68">
        <f>IFERROR(H103-'Nátok z PRDS'!H103,"N/A")</f>
        <v>0</v>
      </c>
    </row>
    <row r="104" spans="1:12" x14ac:dyDescent="0.25">
      <c r="A104" s="199"/>
      <c r="B104" s="200"/>
      <c r="C104" s="81" t="s">
        <v>179</v>
      </c>
      <c r="D104" s="200" t="s">
        <v>249</v>
      </c>
      <c r="E104" s="205">
        <v>0</v>
      </c>
      <c r="F104" s="39"/>
      <c r="G104" s="39"/>
      <c r="H104" s="35" t="s">
        <v>67</v>
      </c>
      <c r="I104" s="35" t="s">
        <v>67</v>
      </c>
      <c r="L104" s="68" t="str">
        <f>IFERROR(H104-'Nátok z PRDS'!H104,"N/A")</f>
        <v>N/A</v>
      </c>
    </row>
    <row r="105" spans="1:12" x14ac:dyDescent="0.25">
      <c r="A105" s="199"/>
      <c r="B105" s="200"/>
      <c r="C105" s="81" t="s">
        <v>164</v>
      </c>
      <c r="D105" s="200"/>
      <c r="E105" s="206"/>
      <c r="F105" s="39"/>
      <c r="G105" s="39"/>
      <c r="H105" s="35" t="s">
        <v>67</v>
      </c>
      <c r="I105" s="35" t="s">
        <v>67</v>
      </c>
      <c r="L105" s="68" t="str">
        <f>IFERROR(H105-'Nátok z PRDS'!H105,"N/A")</f>
        <v>N/A</v>
      </c>
    </row>
    <row r="106" spans="1:12" x14ac:dyDescent="0.25">
      <c r="A106" s="199"/>
      <c r="B106" s="200"/>
      <c r="C106" s="81" t="s">
        <v>182</v>
      </c>
      <c r="D106" s="200"/>
      <c r="E106" s="207"/>
      <c r="F106" s="35">
        <f>+F104+F105</f>
        <v>0</v>
      </c>
      <c r="G106" s="35">
        <f t="shared" ref="G106" si="34">+G104+G105</f>
        <v>0</v>
      </c>
      <c r="H106" s="35">
        <f>+G106-F106</f>
        <v>0</v>
      </c>
      <c r="I106" s="50">
        <f>+ROUND(IF(H106&gt;0,H106*E104,0),4)</f>
        <v>0</v>
      </c>
      <c r="L106" s="68">
        <f>IFERROR(H106-'Nátok z PRDS'!H106,"N/A")</f>
        <v>0</v>
      </c>
    </row>
    <row r="107" spans="1:12" x14ac:dyDescent="0.25">
      <c r="A107" s="199"/>
      <c r="B107" s="200"/>
      <c r="C107" s="81" t="s">
        <v>180</v>
      </c>
      <c r="D107" s="200" t="s">
        <v>249</v>
      </c>
      <c r="E107" s="205">
        <v>0</v>
      </c>
      <c r="F107" s="39"/>
      <c r="G107" s="39"/>
      <c r="H107" s="35" t="s">
        <v>67</v>
      </c>
      <c r="I107" s="35" t="s">
        <v>67</v>
      </c>
      <c r="L107" s="68" t="str">
        <f>IFERROR(H107-'Nátok z PRDS'!H107,"N/A")</f>
        <v>N/A</v>
      </c>
    </row>
    <row r="108" spans="1:12" x14ac:dyDescent="0.25">
      <c r="A108" s="199"/>
      <c r="B108" s="200"/>
      <c r="C108" s="81" t="s">
        <v>164</v>
      </c>
      <c r="D108" s="200"/>
      <c r="E108" s="206"/>
      <c r="F108" s="39"/>
      <c r="G108" s="39"/>
      <c r="H108" s="35" t="s">
        <v>67</v>
      </c>
      <c r="I108" s="35" t="s">
        <v>67</v>
      </c>
      <c r="L108" s="68" t="str">
        <f>IFERROR(H108-'Nátok z PRDS'!H108,"N/A")</f>
        <v>N/A</v>
      </c>
    </row>
    <row r="109" spans="1:12" x14ac:dyDescent="0.25">
      <c r="A109" s="199"/>
      <c r="B109" s="200"/>
      <c r="C109" s="81" t="s">
        <v>181</v>
      </c>
      <c r="D109" s="200"/>
      <c r="E109" s="207"/>
      <c r="F109" s="35">
        <f>+F107+F108</f>
        <v>0</v>
      </c>
      <c r="G109" s="35">
        <f t="shared" ref="G109" si="35">+G107+G108</f>
        <v>0</v>
      </c>
      <c r="H109" s="35">
        <f>+G109-F109</f>
        <v>0</v>
      </c>
      <c r="I109" s="50">
        <f>+ROUND(IF(H109&gt;0,H109*E107,0),4)</f>
        <v>0</v>
      </c>
      <c r="L109" s="68">
        <f>IFERROR(H109-'Nátok z PRDS'!H109,"N/A")</f>
        <v>0</v>
      </c>
    </row>
    <row r="110" spans="1:12" x14ac:dyDescent="0.25">
      <c r="A110" s="199" t="s">
        <v>64</v>
      </c>
      <c r="B110" s="200" t="s">
        <v>193</v>
      </c>
      <c r="C110" s="81" t="s">
        <v>230</v>
      </c>
      <c r="D110" s="128" t="s">
        <v>165</v>
      </c>
      <c r="E110" s="117"/>
      <c r="F110" s="39"/>
      <c r="G110" s="39"/>
      <c r="H110" s="35">
        <f>+G110-F110</f>
        <v>0</v>
      </c>
      <c r="I110" s="50">
        <f>+ROUND(IF(H110&gt;0,H110*E110,0),4)</f>
        <v>0</v>
      </c>
      <c r="L110" s="68">
        <f>IFERROR(H110-'Nátok z PRDS'!H110,"N/A")</f>
        <v>0</v>
      </c>
    </row>
    <row r="111" spans="1:12" x14ac:dyDescent="0.25">
      <c r="A111" s="199"/>
      <c r="B111" s="200"/>
      <c r="C111" s="81" t="s">
        <v>231</v>
      </c>
      <c r="D111" s="128" t="s">
        <v>166</v>
      </c>
      <c r="E111" s="117"/>
      <c r="F111" s="39"/>
      <c r="G111" s="39"/>
      <c r="H111" s="35">
        <f>+G111-F111</f>
        <v>0</v>
      </c>
      <c r="I111" s="50">
        <f>+ROUND(IF(H111&gt;0,H111*E111,0),4)</f>
        <v>0</v>
      </c>
      <c r="L111" s="68">
        <f>IFERROR(H111-'Nátok z PRDS'!H111,"N/A")</f>
        <v>0</v>
      </c>
    </row>
    <row r="112" spans="1:12" x14ac:dyDescent="0.25">
      <c r="A112" s="199"/>
      <c r="B112" s="200"/>
      <c r="C112" s="81" t="s">
        <v>179</v>
      </c>
      <c r="D112" s="200" t="s">
        <v>249</v>
      </c>
      <c r="E112" s="205">
        <v>0</v>
      </c>
      <c r="F112" s="39"/>
      <c r="G112" s="39"/>
      <c r="H112" s="35" t="s">
        <v>67</v>
      </c>
      <c r="I112" s="35" t="s">
        <v>67</v>
      </c>
      <c r="L112" s="68" t="str">
        <f>IFERROR(H112-'Nátok z PRDS'!H112,"N/A")</f>
        <v>N/A</v>
      </c>
    </row>
    <row r="113" spans="1:12" x14ac:dyDescent="0.25">
      <c r="A113" s="199"/>
      <c r="B113" s="200"/>
      <c r="C113" s="81" t="s">
        <v>164</v>
      </c>
      <c r="D113" s="200"/>
      <c r="E113" s="206"/>
      <c r="F113" s="39"/>
      <c r="G113" s="39"/>
      <c r="H113" s="35" t="s">
        <v>67</v>
      </c>
      <c r="I113" s="35" t="s">
        <v>67</v>
      </c>
      <c r="L113" s="68" t="str">
        <f>IFERROR(H113-'Nátok z PRDS'!H113,"N/A")</f>
        <v>N/A</v>
      </c>
    </row>
    <row r="114" spans="1:12" x14ac:dyDescent="0.25">
      <c r="A114" s="199"/>
      <c r="B114" s="200"/>
      <c r="C114" s="81" t="s">
        <v>182</v>
      </c>
      <c r="D114" s="200"/>
      <c r="E114" s="207"/>
      <c r="F114" s="35">
        <f>+F112+F113</f>
        <v>0</v>
      </c>
      <c r="G114" s="35">
        <f t="shared" ref="G114" si="36">+G112+G113</f>
        <v>0</v>
      </c>
      <c r="H114" s="35">
        <f>+G114-F114</f>
        <v>0</v>
      </c>
      <c r="I114" s="50">
        <f>+ROUND(IF(H114&gt;0,H114*E112,0),4)</f>
        <v>0</v>
      </c>
      <c r="L114" s="68">
        <f>IFERROR(H114-'Nátok z PRDS'!H114,"N/A")</f>
        <v>0</v>
      </c>
    </row>
    <row r="115" spans="1:12" x14ac:dyDescent="0.25">
      <c r="A115" s="199"/>
      <c r="B115" s="200"/>
      <c r="C115" s="81" t="s">
        <v>180</v>
      </c>
      <c r="D115" s="200" t="s">
        <v>249</v>
      </c>
      <c r="E115" s="205">
        <v>0</v>
      </c>
      <c r="F115" s="39"/>
      <c r="G115" s="39"/>
      <c r="H115" s="35" t="s">
        <v>67</v>
      </c>
      <c r="I115" s="35" t="s">
        <v>67</v>
      </c>
      <c r="L115" s="68" t="str">
        <f>IFERROR(H115-'Nátok z PRDS'!H115,"N/A")</f>
        <v>N/A</v>
      </c>
    </row>
    <row r="116" spans="1:12" x14ac:dyDescent="0.25">
      <c r="A116" s="199"/>
      <c r="B116" s="200"/>
      <c r="C116" s="81" t="s">
        <v>164</v>
      </c>
      <c r="D116" s="200"/>
      <c r="E116" s="206"/>
      <c r="F116" s="39"/>
      <c r="G116" s="39"/>
      <c r="H116" s="35" t="s">
        <v>67</v>
      </c>
      <c r="I116" s="35" t="s">
        <v>67</v>
      </c>
      <c r="L116" s="68" t="str">
        <f>IFERROR(H116-'Nátok z PRDS'!H116,"N/A")</f>
        <v>N/A</v>
      </c>
    </row>
    <row r="117" spans="1:12" x14ac:dyDescent="0.25">
      <c r="A117" s="199"/>
      <c r="B117" s="200"/>
      <c r="C117" s="81" t="s">
        <v>181</v>
      </c>
      <c r="D117" s="200"/>
      <c r="E117" s="207"/>
      <c r="F117" s="35">
        <f>+F115+F116</f>
        <v>0</v>
      </c>
      <c r="G117" s="35">
        <f t="shared" ref="G117" si="37">+G115+G116</f>
        <v>0</v>
      </c>
      <c r="H117" s="35">
        <f>+G117-F117</f>
        <v>0</v>
      </c>
      <c r="I117" s="50">
        <f>+ROUND(IF(H117&gt;0,H117*E115,0),4)</f>
        <v>0</v>
      </c>
      <c r="L117" s="68">
        <f>IFERROR(H117-'Nátok z PRDS'!H117,"N/A")</f>
        <v>0</v>
      </c>
    </row>
    <row r="118" spans="1:12" x14ac:dyDescent="0.25">
      <c r="A118" s="199" t="s">
        <v>64</v>
      </c>
      <c r="B118" s="200" t="s">
        <v>192</v>
      </c>
      <c r="C118" s="81" t="s">
        <v>230</v>
      </c>
      <c r="D118" s="128" t="s">
        <v>165</v>
      </c>
      <c r="E118" s="117"/>
      <c r="F118" s="39"/>
      <c r="G118" s="39"/>
      <c r="H118" s="35">
        <f>+G118-F118</f>
        <v>0</v>
      </c>
      <c r="I118" s="50">
        <f>+ROUND(IF(H118&gt;0,H118*E118,0),4)</f>
        <v>0</v>
      </c>
      <c r="L118" s="68">
        <f>IFERROR(H118-'Nátok z PRDS'!H118,"N/A")</f>
        <v>0</v>
      </c>
    </row>
    <row r="119" spans="1:12" x14ac:dyDescent="0.25">
      <c r="A119" s="199"/>
      <c r="B119" s="200"/>
      <c r="C119" s="81" t="s">
        <v>231</v>
      </c>
      <c r="D119" s="128" t="s">
        <v>166</v>
      </c>
      <c r="E119" s="117"/>
      <c r="F119" s="39"/>
      <c r="G119" s="39"/>
      <c r="H119" s="35">
        <f>+G119-F119</f>
        <v>0</v>
      </c>
      <c r="I119" s="50">
        <f>+ROUND(IF(H119&gt;0,H119*E119,0),4)</f>
        <v>0</v>
      </c>
      <c r="L119" s="68">
        <f>IFERROR(H119-'Nátok z PRDS'!H119,"N/A")</f>
        <v>0</v>
      </c>
    </row>
    <row r="120" spans="1:12" x14ac:dyDescent="0.25">
      <c r="A120" s="199"/>
      <c r="B120" s="200"/>
      <c r="C120" s="81" t="s">
        <v>179</v>
      </c>
      <c r="D120" s="200" t="s">
        <v>249</v>
      </c>
      <c r="E120" s="205">
        <v>0</v>
      </c>
      <c r="F120" s="39"/>
      <c r="G120" s="39"/>
      <c r="H120" s="35" t="s">
        <v>67</v>
      </c>
      <c r="I120" s="35" t="s">
        <v>67</v>
      </c>
      <c r="L120" s="68" t="str">
        <f>IFERROR(H120-'Nátok z PRDS'!H120,"N/A")</f>
        <v>N/A</v>
      </c>
    </row>
    <row r="121" spans="1:12" x14ac:dyDescent="0.25">
      <c r="A121" s="199"/>
      <c r="B121" s="200"/>
      <c r="C121" s="81" t="s">
        <v>164</v>
      </c>
      <c r="D121" s="200"/>
      <c r="E121" s="206"/>
      <c r="F121" s="39"/>
      <c r="G121" s="39"/>
      <c r="H121" s="35" t="s">
        <v>67</v>
      </c>
      <c r="I121" s="35" t="s">
        <v>67</v>
      </c>
      <c r="L121" s="68" t="str">
        <f>IFERROR(H121-'Nátok z PRDS'!H121,"N/A")</f>
        <v>N/A</v>
      </c>
    </row>
    <row r="122" spans="1:12" x14ac:dyDescent="0.25">
      <c r="A122" s="199"/>
      <c r="B122" s="200"/>
      <c r="C122" s="81" t="s">
        <v>182</v>
      </c>
      <c r="D122" s="200"/>
      <c r="E122" s="207"/>
      <c r="F122" s="35">
        <f>+F120+F121</f>
        <v>0</v>
      </c>
      <c r="G122" s="35">
        <f t="shared" ref="G122" si="38">+G120+G121</f>
        <v>0</v>
      </c>
      <c r="H122" s="35">
        <f>+G122-F122</f>
        <v>0</v>
      </c>
      <c r="I122" s="50">
        <f>+ROUND(IF(H122&gt;0,H122*E120,0),4)</f>
        <v>0</v>
      </c>
      <c r="L122" s="68">
        <f>IFERROR(H122-'Nátok z PRDS'!H122,"N/A")</f>
        <v>0</v>
      </c>
    </row>
    <row r="123" spans="1:12" x14ac:dyDescent="0.25">
      <c r="A123" s="199"/>
      <c r="B123" s="200"/>
      <c r="C123" s="81" t="s">
        <v>180</v>
      </c>
      <c r="D123" s="200" t="s">
        <v>249</v>
      </c>
      <c r="E123" s="205">
        <v>0</v>
      </c>
      <c r="F123" s="39"/>
      <c r="G123" s="39"/>
      <c r="H123" s="35" t="s">
        <v>67</v>
      </c>
      <c r="I123" s="35" t="s">
        <v>67</v>
      </c>
      <c r="L123" s="68" t="str">
        <f>IFERROR(H123-'Nátok z PRDS'!H123,"N/A")</f>
        <v>N/A</v>
      </c>
    </row>
    <row r="124" spans="1:12" x14ac:dyDescent="0.25">
      <c r="A124" s="199"/>
      <c r="B124" s="200"/>
      <c r="C124" s="81" t="s">
        <v>164</v>
      </c>
      <c r="D124" s="200"/>
      <c r="E124" s="206"/>
      <c r="F124" s="39"/>
      <c r="G124" s="39"/>
      <c r="H124" s="35" t="s">
        <v>67</v>
      </c>
      <c r="I124" s="35" t="s">
        <v>67</v>
      </c>
      <c r="L124" s="68" t="str">
        <f>IFERROR(H124-'Nátok z PRDS'!H124,"N/A")</f>
        <v>N/A</v>
      </c>
    </row>
    <row r="125" spans="1:12" x14ac:dyDescent="0.25">
      <c r="A125" s="199"/>
      <c r="B125" s="200"/>
      <c r="C125" s="81" t="s">
        <v>181</v>
      </c>
      <c r="D125" s="200"/>
      <c r="E125" s="207"/>
      <c r="F125" s="35">
        <f>+F123+F124</f>
        <v>0</v>
      </c>
      <c r="G125" s="35">
        <f t="shared" ref="G125" si="39">+G123+G124</f>
        <v>0</v>
      </c>
      <c r="H125" s="35">
        <f>+G125-F125</f>
        <v>0</v>
      </c>
      <c r="I125" s="50">
        <f>+ROUND(IF(H125&gt;0,H125*E123,0),4)</f>
        <v>0</v>
      </c>
      <c r="L125" s="68">
        <f>IFERROR(H125-'Nátok z PRDS'!H125,"N/A")</f>
        <v>0</v>
      </c>
    </row>
    <row r="126" spans="1:12" x14ac:dyDescent="0.25">
      <c r="A126" s="199" t="s">
        <v>64</v>
      </c>
      <c r="B126" s="200" t="s">
        <v>191</v>
      </c>
      <c r="C126" s="81" t="s">
        <v>230</v>
      </c>
      <c r="D126" s="128" t="s">
        <v>165</v>
      </c>
      <c r="E126" s="117"/>
      <c r="F126" s="39"/>
      <c r="G126" s="39"/>
      <c r="H126" s="35">
        <f>+G126-F126</f>
        <v>0</v>
      </c>
      <c r="I126" s="50">
        <f>+ROUND(IF(H126&gt;0,H126*E126,0),4)</f>
        <v>0</v>
      </c>
      <c r="L126" s="68">
        <f>IFERROR(H126-'Nátok z PRDS'!H126,"N/A")</f>
        <v>0</v>
      </c>
    </row>
    <row r="127" spans="1:12" x14ac:dyDescent="0.25">
      <c r="A127" s="199"/>
      <c r="B127" s="200"/>
      <c r="C127" s="81" t="s">
        <v>231</v>
      </c>
      <c r="D127" s="128" t="s">
        <v>166</v>
      </c>
      <c r="E127" s="117"/>
      <c r="F127" s="39"/>
      <c r="G127" s="39"/>
      <c r="H127" s="35">
        <f>+G127-F127</f>
        <v>0</v>
      </c>
      <c r="I127" s="50">
        <f>+ROUND(IF(H127&gt;0,H127*E127,0),4)</f>
        <v>0</v>
      </c>
      <c r="L127" s="68">
        <f>IFERROR(H127-'Nátok z PRDS'!H127,"N/A")</f>
        <v>0</v>
      </c>
    </row>
    <row r="128" spans="1:12" x14ac:dyDescent="0.25">
      <c r="A128" s="199"/>
      <c r="B128" s="200"/>
      <c r="C128" s="81" t="s">
        <v>179</v>
      </c>
      <c r="D128" s="200" t="s">
        <v>249</v>
      </c>
      <c r="E128" s="205">
        <v>0</v>
      </c>
      <c r="F128" s="39"/>
      <c r="G128" s="39"/>
      <c r="H128" s="35" t="s">
        <v>67</v>
      </c>
      <c r="I128" s="35" t="s">
        <v>67</v>
      </c>
      <c r="L128" s="68" t="str">
        <f>IFERROR(H128-'Nátok z PRDS'!H128,"N/A")</f>
        <v>N/A</v>
      </c>
    </row>
    <row r="129" spans="1:12" x14ac:dyDescent="0.25">
      <c r="A129" s="199"/>
      <c r="B129" s="200"/>
      <c r="C129" s="81" t="s">
        <v>164</v>
      </c>
      <c r="D129" s="200"/>
      <c r="E129" s="206"/>
      <c r="F129" s="39"/>
      <c r="G129" s="39"/>
      <c r="H129" s="35" t="s">
        <v>67</v>
      </c>
      <c r="I129" s="35" t="s">
        <v>67</v>
      </c>
      <c r="L129" s="68" t="str">
        <f>IFERROR(H129-'Nátok z PRDS'!H129,"N/A")</f>
        <v>N/A</v>
      </c>
    </row>
    <row r="130" spans="1:12" x14ac:dyDescent="0.25">
      <c r="A130" s="199"/>
      <c r="B130" s="200"/>
      <c r="C130" s="81" t="s">
        <v>182</v>
      </c>
      <c r="D130" s="200"/>
      <c r="E130" s="207"/>
      <c r="F130" s="35">
        <f>+F128+F129</f>
        <v>0</v>
      </c>
      <c r="G130" s="35">
        <f t="shared" ref="G130" si="40">+G128+G129</f>
        <v>0</v>
      </c>
      <c r="H130" s="35">
        <f>+G130-F130</f>
        <v>0</v>
      </c>
      <c r="I130" s="50">
        <f>+ROUND(IF(H130&gt;0,H130*E128,0),4)</f>
        <v>0</v>
      </c>
      <c r="L130" s="68">
        <f>IFERROR(H130-'Nátok z PRDS'!H130,"N/A")</f>
        <v>0</v>
      </c>
    </row>
    <row r="131" spans="1:12" x14ac:dyDescent="0.25">
      <c r="A131" s="199"/>
      <c r="B131" s="200"/>
      <c r="C131" s="81" t="s">
        <v>180</v>
      </c>
      <c r="D131" s="200" t="s">
        <v>249</v>
      </c>
      <c r="E131" s="205">
        <v>0</v>
      </c>
      <c r="F131" s="39"/>
      <c r="G131" s="39"/>
      <c r="H131" s="35" t="s">
        <v>67</v>
      </c>
      <c r="I131" s="35" t="s">
        <v>67</v>
      </c>
      <c r="L131" s="68" t="str">
        <f>IFERROR(H131-'Nátok z PRDS'!H131,"N/A")</f>
        <v>N/A</v>
      </c>
    </row>
    <row r="132" spans="1:12" x14ac:dyDescent="0.25">
      <c r="A132" s="199"/>
      <c r="B132" s="200"/>
      <c r="C132" s="81" t="s">
        <v>164</v>
      </c>
      <c r="D132" s="200"/>
      <c r="E132" s="206"/>
      <c r="F132" s="39"/>
      <c r="G132" s="39"/>
      <c r="H132" s="35" t="s">
        <v>67</v>
      </c>
      <c r="I132" s="35" t="s">
        <v>67</v>
      </c>
      <c r="L132" s="68" t="str">
        <f>IFERROR(H132-'Nátok z PRDS'!H132,"N/A")</f>
        <v>N/A</v>
      </c>
    </row>
    <row r="133" spans="1:12" x14ac:dyDescent="0.25">
      <c r="A133" s="199"/>
      <c r="B133" s="200"/>
      <c r="C133" s="81" t="s">
        <v>181</v>
      </c>
      <c r="D133" s="200"/>
      <c r="E133" s="207"/>
      <c r="F133" s="35">
        <f>+F131+F132</f>
        <v>0</v>
      </c>
      <c r="G133" s="35">
        <f t="shared" ref="G133" si="41">+G131+G132</f>
        <v>0</v>
      </c>
      <c r="H133" s="35">
        <f>+G133-F133</f>
        <v>0</v>
      </c>
      <c r="I133" s="50">
        <f>+ROUND(IF(H133&gt;0,H133*E131,0),4)</f>
        <v>0</v>
      </c>
      <c r="L133" s="68">
        <f>IFERROR(H133-'Nátok z PRDS'!H133,"N/A")</f>
        <v>0</v>
      </c>
    </row>
    <row r="134" spans="1:12" x14ac:dyDescent="0.25">
      <c r="A134" s="208" t="s">
        <v>64</v>
      </c>
      <c r="B134" s="211" t="s">
        <v>190</v>
      </c>
      <c r="C134" s="82" t="s">
        <v>162</v>
      </c>
      <c r="D134" s="129" t="s">
        <v>236</v>
      </c>
      <c r="E134" s="118"/>
      <c r="F134" s="46"/>
      <c r="G134" s="46"/>
      <c r="H134" s="36">
        <f>+G134-F134</f>
        <v>0</v>
      </c>
      <c r="I134" s="50">
        <f>+ROUND(IF(H134&gt;0,H134*E134,0),4)</f>
        <v>0</v>
      </c>
      <c r="L134" s="68">
        <f>IFERROR(H134-'Nátok z PRDS'!H134,"N/A")</f>
        <v>0</v>
      </c>
    </row>
    <row r="135" spans="1:12" x14ac:dyDescent="0.25">
      <c r="A135" s="208" t="s">
        <v>65</v>
      </c>
      <c r="B135" s="211"/>
      <c r="C135" s="82" t="s">
        <v>162</v>
      </c>
      <c r="D135" s="129" t="s">
        <v>238</v>
      </c>
      <c r="E135" s="118"/>
      <c r="F135" s="46">
        <v>0.91990000000000005</v>
      </c>
      <c r="G135" s="46">
        <v>1.0086999999999999</v>
      </c>
      <c r="H135" s="36">
        <f t="shared" ref="H135" si="42">+G135-F135</f>
        <v>8.8799999999999879E-2</v>
      </c>
      <c r="I135" s="50">
        <f t="shared" ref="I135:I137" si="43">+ROUND(IF(H135&gt;0,H135*E135,0),4)</f>
        <v>0</v>
      </c>
      <c r="L135" s="68">
        <f>IFERROR(H135-'Nátok z PRDS'!H135,"N/A")</f>
        <v>8.8799999999999879E-2</v>
      </c>
    </row>
    <row r="136" spans="1:12" x14ac:dyDescent="0.25">
      <c r="A136" s="199" t="s">
        <v>64</v>
      </c>
      <c r="B136" s="200" t="s">
        <v>189</v>
      </c>
      <c r="C136" s="81" t="s">
        <v>230</v>
      </c>
      <c r="D136" s="128" t="s">
        <v>165</v>
      </c>
      <c r="E136" s="117"/>
      <c r="F136" s="39"/>
      <c r="G136" s="39"/>
      <c r="H136" s="35">
        <f>+G136-F136</f>
        <v>0</v>
      </c>
      <c r="I136" s="50">
        <f t="shared" si="43"/>
        <v>0</v>
      </c>
      <c r="L136" s="68">
        <f>IFERROR(H136-'Nátok z PRDS'!H136,"N/A")</f>
        <v>0</v>
      </c>
    </row>
    <row r="137" spans="1:12" x14ac:dyDescent="0.25">
      <c r="A137" s="199"/>
      <c r="B137" s="200"/>
      <c r="C137" s="81" t="s">
        <v>231</v>
      </c>
      <c r="D137" s="128" t="s">
        <v>166</v>
      </c>
      <c r="E137" s="117"/>
      <c r="F137" s="39"/>
      <c r="G137" s="39"/>
      <c r="H137" s="35">
        <f>+G137-F137</f>
        <v>0</v>
      </c>
      <c r="I137" s="50">
        <f t="shared" si="43"/>
        <v>0</v>
      </c>
      <c r="L137" s="68">
        <f>IFERROR(H137-'Nátok z PRDS'!H137,"N/A")</f>
        <v>0</v>
      </c>
    </row>
    <row r="138" spans="1:12" x14ac:dyDescent="0.25">
      <c r="A138" s="199"/>
      <c r="B138" s="200"/>
      <c r="C138" s="81" t="s">
        <v>163</v>
      </c>
      <c r="D138" s="200" t="s">
        <v>249</v>
      </c>
      <c r="E138" s="205">
        <f>+E139</f>
        <v>0</v>
      </c>
      <c r="F138" s="39"/>
      <c r="G138" s="39"/>
      <c r="H138" s="35" t="s">
        <v>67</v>
      </c>
      <c r="I138" s="35" t="s">
        <v>67</v>
      </c>
      <c r="L138" s="68" t="str">
        <f>IFERROR(H138-'Nátok z PRDS'!H138,"N/A")</f>
        <v>N/A</v>
      </c>
    </row>
    <row r="139" spans="1:12" x14ac:dyDescent="0.25">
      <c r="A139" s="199"/>
      <c r="B139" s="200"/>
      <c r="C139" s="81" t="s">
        <v>164</v>
      </c>
      <c r="D139" s="200"/>
      <c r="E139" s="206"/>
      <c r="F139" s="39"/>
      <c r="G139" s="39"/>
      <c r="H139" s="35" t="s">
        <v>67</v>
      </c>
      <c r="I139" s="35" t="s">
        <v>67</v>
      </c>
      <c r="L139" s="68" t="str">
        <f>IFERROR(H139-'Nátok z PRDS'!H139,"N/A")</f>
        <v>N/A</v>
      </c>
    </row>
    <row r="140" spans="1:12" x14ac:dyDescent="0.25">
      <c r="A140" s="199"/>
      <c r="B140" s="200"/>
      <c r="C140" s="81" t="s">
        <v>168</v>
      </c>
      <c r="D140" s="200"/>
      <c r="E140" s="207"/>
      <c r="F140" s="35">
        <f>+F138+F139</f>
        <v>0</v>
      </c>
      <c r="G140" s="35">
        <f t="shared" ref="G140" si="44">+G138+G139</f>
        <v>0</v>
      </c>
      <c r="H140" s="35">
        <f>+G140-F140</f>
        <v>0</v>
      </c>
      <c r="I140" s="50">
        <f>+ROUND(IF(H140&gt;0,H140*E138,0),4)</f>
        <v>0</v>
      </c>
      <c r="L140" s="68">
        <f>IFERROR(H140-'Nátok z PRDS'!H140,"N/A")</f>
        <v>0</v>
      </c>
    </row>
    <row r="141" spans="1:12" x14ac:dyDescent="0.25">
      <c r="A141" s="218" t="s">
        <v>64</v>
      </c>
      <c r="B141" s="221" t="s">
        <v>187</v>
      </c>
      <c r="C141" s="83" t="s">
        <v>162</v>
      </c>
      <c r="D141" s="128" t="s">
        <v>236</v>
      </c>
      <c r="E141" s="117"/>
      <c r="F141" s="39">
        <v>35</v>
      </c>
      <c r="G141" s="39">
        <v>35</v>
      </c>
      <c r="H141" s="35">
        <f>+G141-F141</f>
        <v>0</v>
      </c>
      <c r="I141" s="50">
        <f>+ROUND(IF(H141&gt;0,H141*E141,0),4)</f>
        <v>0</v>
      </c>
      <c r="L141" s="68">
        <f>IFERROR(H141-'Nátok z PRDS'!H141,"N/A")</f>
        <v>0</v>
      </c>
    </row>
    <row r="142" spans="1:12" x14ac:dyDescent="0.25">
      <c r="A142" s="219"/>
      <c r="B142" s="222"/>
      <c r="C142" s="83" t="s">
        <v>230</v>
      </c>
      <c r="D142" s="128" t="s">
        <v>165</v>
      </c>
      <c r="E142" s="117"/>
      <c r="F142" s="39">
        <v>1.9031</v>
      </c>
      <c r="G142" s="39">
        <v>2.0867</v>
      </c>
      <c r="H142" s="35">
        <f>+G142-F142</f>
        <v>0.18359999999999999</v>
      </c>
      <c r="I142" s="50">
        <f>+ROUND(IF(H142&gt;0,H142*E142,0),4)</f>
        <v>0</v>
      </c>
      <c r="L142" s="68">
        <f>IFERROR(H142-'Nátok z PRDS'!H142,"N/A")</f>
        <v>0.18359999999999999</v>
      </c>
    </row>
    <row r="143" spans="1:12" x14ac:dyDescent="0.25">
      <c r="A143" s="219"/>
      <c r="B143" s="222"/>
      <c r="C143" s="83" t="s">
        <v>231</v>
      </c>
      <c r="D143" s="130" t="s">
        <v>166</v>
      </c>
      <c r="E143" s="117"/>
      <c r="F143" s="39"/>
      <c r="G143" s="39"/>
      <c r="H143" s="35">
        <f>+G143-F143</f>
        <v>0</v>
      </c>
      <c r="I143" s="50">
        <f>+ROUND(IF(H143&gt;0,H143*E143,0),4)</f>
        <v>0</v>
      </c>
      <c r="L143" s="68">
        <f>IFERROR(H143-'Nátok z PRDS'!H143,"N/A")</f>
        <v>0</v>
      </c>
    </row>
    <row r="144" spans="1:12" x14ac:dyDescent="0.25">
      <c r="A144" s="219"/>
      <c r="B144" s="222"/>
      <c r="C144" s="81" t="s">
        <v>163</v>
      </c>
      <c r="D144" s="200" t="s">
        <v>249</v>
      </c>
      <c r="E144" s="205">
        <f>+E145</f>
        <v>0</v>
      </c>
      <c r="F144" s="39">
        <v>19.3</v>
      </c>
      <c r="G144" s="39">
        <v>20.8</v>
      </c>
      <c r="H144" s="35" t="s">
        <v>67</v>
      </c>
      <c r="I144" s="35" t="s">
        <v>67</v>
      </c>
      <c r="L144" s="68" t="str">
        <f>IFERROR(H144-'Nátok z PRDS'!H144,"N/A")</f>
        <v>N/A</v>
      </c>
    </row>
    <row r="145" spans="1:12" x14ac:dyDescent="0.25">
      <c r="A145" s="219"/>
      <c r="B145" s="222"/>
      <c r="C145" s="81" t="s">
        <v>164</v>
      </c>
      <c r="D145" s="200"/>
      <c r="E145" s="206"/>
      <c r="F145" s="39">
        <v>12.413</v>
      </c>
      <c r="G145" s="39">
        <v>16.244</v>
      </c>
      <c r="H145" s="35" t="s">
        <v>67</v>
      </c>
      <c r="I145" s="35" t="s">
        <v>67</v>
      </c>
      <c r="L145" s="68" t="str">
        <f>IFERROR(H145-'Nátok z PRDS'!H145,"N/A")</f>
        <v>N/A</v>
      </c>
    </row>
    <row r="146" spans="1:12" x14ac:dyDescent="0.25">
      <c r="A146" s="220"/>
      <c r="B146" s="223"/>
      <c r="C146" s="81" t="s">
        <v>168</v>
      </c>
      <c r="D146" s="200"/>
      <c r="E146" s="207"/>
      <c r="F146" s="35">
        <f>+F144+F145</f>
        <v>31.713000000000001</v>
      </c>
      <c r="G146" s="35">
        <f>+G144+G145</f>
        <v>37.043999999999997</v>
      </c>
      <c r="H146" s="35">
        <f>+G146-F146</f>
        <v>5.330999999999996</v>
      </c>
      <c r="I146" s="50">
        <f>+ROUND(IF(H146&gt;0,H146*E144,0),4)</f>
        <v>0</v>
      </c>
      <c r="L146" s="68">
        <f>IFERROR(H146-'Nátok z PRDS'!H146,"N/A")</f>
        <v>5.330999999999996</v>
      </c>
    </row>
    <row r="147" spans="1:12" x14ac:dyDescent="0.25">
      <c r="A147" s="199" t="s">
        <v>64</v>
      </c>
      <c r="B147" s="200" t="s">
        <v>232</v>
      </c>
      <c r="C147" s="81" t="s">
        <v>230</v>
      </c>
      <c r="D147" s="128" t="s">
        <v>165</v>
      </c>
      <c r="E147" s="117"/>
      <c r="F147" s="39"/>
      <c r="G147" s="39"/>
      <c r="H147" s="35">
        <f>+G147-F147</f>
        <v>0</v>
      </c>
      <c r="I147" s="50">
        <f t="shared" ref="I147" si="45">+ROUND(IF(H147&gt;0,H147*E147,0),4)</f>
        <v>0</v>
      </c>
      <c r="L147" s="68">
        <f>IFERROR(H147-'Nátok z PRDS'!H147,"N/A")</f>
        <v>0</v>
      </c>
    </row>
    <row r="148" spans="1:12" x14ac:dyDescent="0.25">
      <c r="A148" s="199"/>
      <c r="B148" s="200"/>
      <c r="C148" s="81" t="s">
        <v>231</v>
      </c>
      <c r="D148" s="128" t="s">
        <v>166</v>
      </c>
      <c r="E148" s="117"/>
      <c r="F148" s="39"/>
      <c r="G148" s="39"/>
      <c r="H148" s="35">
        <f>+G148-F148</f>
        <v>0</v>
      </c>
      <c r="I148" s="50">
        <f>+ROUND(IF(H148&gt;0,H148*E148,0),4)</f>
        <v>0</v>
      </c>
      <c r="L148" s="68">
        <f>IFERROR(H148-'Nátok z PRDS'!H148,"N/A")</f>
        <v>0</v>
      </c>
    </row>
    <row r="149" spans="1:12" x14ac:dyDescent="0.25">
      <c r="A149" s="199"/>
      <c r="B149" s="200"/>
      <c r="C149" s="81" t="s">
        <v>179</v>
      </c>
      <c r="D149" s="200" t="s">
        <v>249</v>
      </c>
      <c r="E149" s="205">
        <v>0</v>
      </c>
      <c r="F149" s="39"/>
      <c r="G149" s="39"/>
      <c r="H149" s="35" t="s">
        <v>67</v>
      </c>
      <c r="I149" s="35" t="s">
        <v>67</v>
      </c>
      <c r="L149" s="68" t="str">
        <f>IFERROR(H149-'Nátok z PRDS'!H149,"N/A")</f>
        <v>N/A</v>
      </c>
    </row>
    <row r="150" spans="1:12" x14ac:dyDescent="0.25">
      <c r="A150" s="199"/>
      <c r="B150" s="200"/>
      <c r="C150" s="81" t="s">
        <v>164</v>
      </c>
      <c r="D150" s="200"/>
      <c r="E150" s="206"/>
      <c r="F150" s="39"/>
      <c r="G150" s="39"/>
      <c r="H150" s="35" t="s">
        <v>67</v>
      </c>
      <c r="I150" s="35" t="s">
        <v>67</v>
      </c>
      <c r="L150" s="68" t="str">
        <f>IFERROR(H150-'Nátok z PRDS'!H150,"N/A")</f>
        <v>N/A</v>
      </c>
    </row>
    <row r="151" spans="1:12" x14ac:dyDescent="0.25">
      <c r="A151" s="199"/>
      <c r="B151" s="200"/>
      <c r="C151" s="81" t="s">
        <v>182</v>
      </c>
      <c r="D151" s="200"/>
      <c r="E151" s="207"/>
      <c r="F151" s="35">
        <f>+F149+F150</f>
        <v>0</v>
      </c>
      <c r="G151" s="35">
        <f t="shared" ref="G151" si="46">+G149+G150</f>
        <v>0</v>
      </c>
      <c r="H151" s="35">
        <f>+G151-F151</f>
        <v>0</v>
      </c>
      <c r="I151" s="50">
        <f>+ROUND(IF(H151&gt;0,H151*E149,0),4)</f>
        <v>0</v>
      </c>
      <c r="L151" s="68">
        <f>IFERROR(H151-'Nátok z PRDS'!H151,"N/A")</f>
        <v>0</v>
      </c>
    </row>
    <row r="152" spans="1:12" x14ac:dyDescent="0.25">
      <c r="A152" s="199"/>
      <c r="B152" s="200"/>
      <c r="C152" s="81" t="s">
        <v>180</v>
      </c>
      <c r="D152" s="200" t="s">
        <v>249</v>
      </c>
      <c r="E152" s="205">
        <v>0</v>
      </c>
      <c r="F152" s="39"/>
      <c r="G152" s="39"/>
      <c r="H152" s="35" t="s">
        <v>67</v>
      </c>
      <c r="I152" s="35" t="s">
        <v>67</v>
      </c>
      <c r="L152" s="68" t="str">
        <f>IFERROR(H152-'Nátok z PRDS'!H152,"N/A")</f>
        <v>N/A</v>
      </c>
    </row>
    <row r="153" spans="1:12" x14ac:dyDescent="0.25">
      <c r="A153" s="199"/>
      <c r="B153" s="200"/>
      <c r="C153" s="81" t="s">
        <v>164</v>
      </c>
      <c r="D153" s="200"/>
      <c r="E153" s="206"/>
      <c r="F153" s="39"/>
      <c r="G153" s="39"/>
      <c r="H153" s="35" t="s">
        <v>67</v>
      </c>
      <c r="I153" s="35" t="s">
        <v>67</v>
      </c>
      <c r="L153" s="68" t="str">
        <f>IFERROR(H153-'Nátok z PRDS'!H153,"N/A")</f>
        <v>N/A</v>
      </c>
    </row>
    <row r="154" spans="1:12" x14ac:dyDescent="0.25">
      <c r="A154" s="199"/>
      <c r="B154" s="200"/>
      <c r="C154" s="81" t="s">
        <v>181</v>
      </c>
      <c r="D154" s="200"/>
      <c r="E154" s="207"/>
      <c r="F154" s="35">
        <f>+F152+F153</f>
        <v>0</v>
      </c>
      <c r="G154" s="35">
        <f t="shared" ref="G154" si="47">+G152+G153</f>
        <v>0</v>
      </c>
      <c r="H154" s="35">
        <f>+G154-F154</f>
        <v>0</v>
      </c>
      <c r="I154" s="50">
        <f>+ROUND(IF(H154&gt;0,H154*E152,0),4)</f>
        <v>0</v>
      </c>
      <c r="L154" s="68">
        <f>IFERROR(H154-'Nátok z PRDS'!H154,"N/A")</f>
        <v>0</v>
      </c>
    </row>
    <row r="155" spans="1:12" x14ac:dyDescent="0.25">
      <c r="A155" s="199" t="s">
        <v>64</v>
      </c>
      <c r="B155" s="200" t="s">
        <v>233</v>
      </c>
      <c r="C155" s="81" t="s">
        <v>230</v>
      </c>
      <c r="D155" s="128" t="s">
        <v>165</v>
      </c>
      <c r="E155" s="117"/>
      <c r="F155" s="39"/>
      <c r="G155" s="39"/>
      <c r="H155" s="35">
        <f>+G155-F155</f>
        <v>0</v>
      </c>
      <c r="I155" s="50">
        <f t="shared" ref="I155:I156" si="48">+ROUND(IF(H155&gt;0,H155*E155,0),4)</f>
        <v>0</v>
      </c>
      <c r="L155" s="68">
        <f>IFERROR(H155-'Nátok z PRDS'!H155,"N/A")</f>
        <v>0</v>
      </c>
    </row>
    <row r="156" spans="1:12" x14ac:dyDescent="0.25">
      <c r="A156" s="199"/>
      <c r="B156" s="200"/>
      <c r="C156" s="81" t="s">
        <v>231</v>
      </c>
      <c r="D156" s="128" t="s">
        <v>166</v>
      </c>
      <c r="E156" s="117"/>
      <c r="F156" s="39"/>
      <c r="G156" s="39"/>
      <c r="H156" s="35">
        <f>+G156-F156</f>
        <v>0</v>
      </c>
      <c r="I156" s="50">
        <f t="shared" si="48"/>
        <v>0</v>
      </c>
      <c r="L156" s="68">
        <f>IFERROR(H156-'Nátok z PRDS'!H156,"N/A")</f>
        <v>0</v>
      </c>
    </row>
    <row r="157" spans="1:12" x14ac:dyDescent="0.25">
      <c r="A157" s="199"/>
      <c r="B157" s="200"/>
      <c r="C157" s="81" t="s">
        <v>226</v>
      </c>
      <c r="D157" s="200" t="s">
        <v>249</v>
      </c>
      <c r="E157" s="205">
        <v>0</v>
      </c>
      <c r="F157" s="39"/>
      <c r="G157" s="39"/>
      <c r="H157" s="35" t="s">
        <v>67</v>
      </c>
      <c r="I157" s="35" t="s">
        <v>67</v>
      </c>
      <c r="L157" s="68" t="str">
        <f>IFERROR(H157-'Nátok z PRDS'!H157,"N/A")</f>
        <v>N/A</v>
      </c>
    </row>
    <row r="158" spans="1:12" x14ac:dyDescent="0.25">
      <c r="A158" s="199"/>
      <c r="B158" s="200"/>
      <c r="C158" s="81" t="s">
        <v>164</v>
      </c>
      <c r="D158" s="200"/>
      <c r="E158" s="206"/>
      <c r="F158" s="39"/>
      <c r="G158" s="39"/>
      <c r="H158" s="35" t="s">
        <v>67</v>
      </c>
      <c r="I158" s="35" t="s">
        <v>67</v>
      </c>
      <c r="L158" s="68" t="str">
        <f>IFERROR(H158-'Nátok z PRDS'!H158,"N/A")</f>
        <v>N/A</v>
      </c>
    </row>
    <row r="159" spans="1:12" x14ac:dyDescent="0.25">
      <c r="A159" s="199"/>
      <c r="B159" s="200"/>
      <c r="C159" s="81" t="s">
        <v>227</v>
      </c>
      <c r="D159" s="200"/>
      <c r="E159" s="207"/>
      <c r="F159" s="35">
        <f>+F157+F158</f>
        <v>0</v>
      </c>
      <c r="G159" s="35">
        <f t="shared" ref="G159" si="49">+G157+G158</f>
        <v>0</v>
      </c>
      <c r="H159" s="35">
        <f>+G159-F159</f>
        <v>0</v>
      </c>
      <c r="I159" s="50">
        <f>+ROUND(IF(H159&gt;0,H159*E157,0),4)</f>
        <v>0</v>
      </c>
      <c r="L159" s="68">
        <f>IFERROR(H159-'Nátok z PRDS'!H159,"N/A")</f>
        <v>0</v>
      </c>
    </row>
    <row r="160" spans="1:12" x14ac:dyDescent="0.25">
      <c r="A160" s="199"/>
      <c r="B160" s="200"/>
      <c r="C160" s="81" t="s">
        <v>179</v>
      </c>
      <c r="D160" s="200" t="s">
        <v>249</v>
      </c>
      <c r="E160" s="205">
        <v>0</v>
      </c>
      <c r="F160" s="39"/>
      <c r="G160" s="39"/>
      <c r="H160" s="35" t="s">
        <v>67</v>
      </c>
      <c r="I160" s="35" t="s">
        <v>67</v>
      </c>
      <c r="L160" s="68" t="str">
        <f>IFERROR(H160-'Nátok z PRDS'!H160,"N/A")</f>
        <v>N/A</v>
      </c>
    </row>
    <row r="161" spans="1:13" x14ac:dyDescent="0.25">
      <c r="A161" s="199"/>
      <c r="B161" s="200"/>
      <c r="C161" s="81" t="s">
        <v>164</v>
      </c>
      <c r="D161" s="200"/>
      <c r="E161" s="206"/>
      <c r="F161" s="39"/>
      <c r="G161" s="39"/>
      <c r="H161" s="35" t="s">
        <v>67</v>
      </c>
      <c r="I161" s="35" t="s">
        <v>67</v>
      </c>
      <c r="L161" s="68" t="str">
        <f>IFERROR(H161-'Nátok z PRDS'!H161,"N/A")</f>
        <v>N/A</v>
      </c>
    </row>
    <row r="162" spans="1:13" x14ac:dyDescent="0.25">
      <c r="A162" s="199"/>
      <c r="B162" s="200"/>
      <c r="C162" s="81" t="s">
        <v>182</v>
      </c>
      <c r="D162" s="200"/>
      <c r="E162" s="207"/>
      <c r="F162" s="35">
        <f>+F160+F161</f>
        <v>0</v>
      </c>
      <c r="G162" s="35">
        <f t="shared" ref="G162" si="50">+G160+G161</f>
        <v>0</v>
      </c>
      <c r="H162" s="35">
        <f>+G162-F162</f>
        <v>0</v>
      </c>
      <c r="I162" s="50">
        <f>+ROUND(IF(H162&gt;0,H162*E160,0),4)</f>
        <v>0</v>
      </c>
      <c r="L162" s="68">
        <f>IFERROR(H162-'Nátok z PRDS'!H162,"N/A")</f>
        <v>0</v>
      </c>
    </row>
    <row r="163" spans="1:13" x14ac:dyDescent="0.25">
      <c r="A163" s="199"/>
      <c r="B163" s="200"/>
      <c r="C163" s="81" t="s">
        <v>180</v>
      </c>
      <c r="D163" s="200" t="s">
        <v>249</v>
      </c>
      <c r="E163" s="205">
        <v>0</v>
      </c>
      <c r="F163" s="39"/>
      <c r="G163" s="39"/>
      <c r="H163" s="35" t="s">
        <v>67</v>
      </c>
      <c r="I163" s="35" t="s">
        <v>67</v>
      </c>
      <c r="L163" s="68" t="str">
        <f>IFERROR(H163-'Nátok z PRDS'!H163,"N/A")</f>
        <v>N/A</v>
      </c>
    </row>
    <row r="164" spans="1:13" x14ac:dyDescent="0.25">
      <c r="A164" s="199"/>
      <c r="B164" s="200"/>
      <c r="C164" s="81" t="s">
        <v>164</v>
      </c>
      <c r="D164" s="200"/>
      <c r="E164" s="206"/>
      <c r="F164" s="39"/>
      <c r="G164" s="39"/>
      <c r="H164" s="35" t="s">
        <v>67</v>
      </c>
      <c r="I164" s="35" t="s">
        <v>67</v>
      </c>
      <c r="L164" s="68" t="str">
        <f>IFERROR(H164-'Nátok z PRDS'!H164,"N/A")</f>
        <v>N/A</v>
      </c>
    </row>
    <row r="165" spans="1:13" x14ac:dyDescent="0.25">
      <c r="A165" s="199"/>
      <c r="B165" s="200"/>
      <c r="C165" s="81" t="s">
        <v>181</v>
      </c>
      <c r="D165" s="200"/>
      <c r="E165" s="207"/>
      <c r="F165" s="35">
        <f>+F163+F164</f>
        <v>0</v>
      </c>
      <c r="G165" s="35">
        <f t="shared" ref="G165" si="51">+G163+G164</f>
        <v>0</v>
      </c>
      <c r="H165" s="35">
        <f>+G165-F165</f>
        <v>0</v>
      </c>
      <c r="I165" s="50">
        <f>+ROUND(IF(H165&gt;0,H165*E163,0),4)</f>
        <v>0</v>
      </c>
      <c r="L165" s="68">
        <f>IFERROR(H165-'Nátok z PRDS'!H165,"N/A")</f>
        <v>0</v>
      </c>
    </row>
    <row r="166" spans="1:13" x14ac:dyDescent="0.25">
      <c r="A166" s="199"/>
      <c r="B166" s="200"/>
      <c r="C166" s="81" t="s">
        <v>228</v>
      </c>
      <c r="D166" s="200" t="s">
        <v>249</v>
      </c>
      <c r="E166" s="205">
        <v>0</v>
      </c>
      <c r="F166" s="39"/>
      <c r="G166" s="39"/>
      <c r="H166" s="35" t="s">
        <v>67</v>
      </c>
      <c r="I166" s="35" t="s">
        <v>67</v>
      </c>
      <c r="L166" s="68" t="str">
        <f>IFERROR(H166-'Nátok z PRDS'!H166,"N/A")</f>
        <v>N/A</v>
      </c>
    </row>
    <row r="167" spans="1:13" x14ac:dyDescent="0.25">
      <c r="A167" s="199"/>
      <c r="B167" s="200"/>
      <c r="C167" s="81" t="s">
        <v>164</v>
      </c>
      <c r="D167" s="200"/>
      <c r="E167" s="206"/>
      <c r="F167" s="39"/>
      <c r="G167" s="39"/>
      <c r="H167" s="35" t="s">
        <v>67</v>
      </c>
      <c r="I167" s="35" t="s">
        <v>67</v>
      </c>
      <c r="L167" s="68" t="str">
        <f>IFERROR(H167-'Nátok z PRDS'!H167,"N/A")</f>
        <v>N/A</v>
      </c>
    </row>
    <row r="168" spans="1:13" x14ac:dyDescent="0.25">
      <c r="A168" s="199"/>
      <c r="B168" s="200"/>
      <c r="C168" s="81" t="s">
        <v>229</v>
      </c>
      <c r="D168" s="200"/>
      <c r="E168" s="207"/>
      <c r="F168" s="35">
        <f>+F166+F167</f>
        <v>0</v>
      </c>
      <c r="G168" s="35">
        <f t="shared" ref="G168" si="52">+G166+G167</f>
        <v>0</v>
      </c>
      <c r="H168" s="35">
        <f>+G168-F168</f>
        <v>0</v>
      </c>
      <c r="I168" s="50">
        <f>+ROUND(IF(H168&gt;0,H168*E166,0),4)</f>
        <v>0</v>
      </c>
      <c r="L168" s="68">
        <f>IFERROR(H168-'Nátok z PRDS'!H168,"N/A")</f>
        <v>0</v>
      </c>
    </row>
    <row r="169" spans="1:13" x14ac:dyDescent="0.25">
      <c r="A169" s="209" t="s">
        <v>64</v>
      </c>
      <c r="B169" s="210" t="s">
        <v>188</v>
      </c>
      <c r="C169" s="109" t="s">
        <v>162</v>
      </c>
      <c r="D169" s="122" t="s">
        <v>67</v>
      </c>
      <c r="E169" s="52" t="s">
        <v>67</v>
      </c>
      <c r="F169" s="52" t="s">
        <v>67</v>
      </c>
      <c r="G169" s="52" t="s">
        <v>67</v>
      </c>
      <c r="H169" s="52" t="s">
        <v>67</v>
      </c>
      <c r="I169" s="52">
        <f>SUM(I79:I80,I84:I85,I89:I90,I94:I95,I102:I103,I110:I111,I118:I119,I126:I127,I134:I137,I147:I148,I155:I156,I141:I143)</f>
        <v>0</v>
      </c>
      <c r="L169" s="68" t="str">
        <f>IFERROR(H169-'Nátok z PRDS'!H169,"N/A")</f>
        <v>N/A</v>
      </c>
    </row>
    <row r="170" spans="1:13" x14ac:dyDescent="0.25">
      <c r="A170" s="209"/>
      <c r="B170" s="210"/>
      <c r="C170" s="109" t="s">
        <v>168</v>
      </c>
      <c r="D170" s="89" t="s">
        <v>249</v>
      </c>
      <c r="E170" s="52">
        <f>SUM(E81,E86,E91,E96,E99,E104,E107,E112,E115,E120,E123,E128,E131,E138,E144,E149,E152,E157,E160,E163,E166)</f>
        <v>0</v>
      </c>
      <c r="F170" s="52" t="s">
        <v>67</v>
      </c>
      <c r="G170" s="52" t="s">
        <v>67</v>
      </c>
      <c r="H170" s="52" t="s">
        <v>67</v>
      </c>
      <c r="I170" s="52">
        <f>SUM(I83,I88,I93,I98,I101,I106,I109,I114,I117,I122,I125,I130,I133,I140,I146,I151,I154,I159,I162,I165,I168)</f>
        <v>0</v>
      </c>
      <c r="L170" s="68" t="str">
        <f>IFERROR(H170-'Nátok z PRDS'!H170,"N/A")</f>
        <v>N/A</v>
      </c>
    </row>
    <row r="171" spans="1:13" x14ac:dyDescent="0.25">
      <c r="A171" s="200" t="s">
        <v>65</v>
      </c>
      <c r="B171" s="200" t="s">
        <v>172</v>
      </c>
      <c r="C171" s="84" t="s">
        <v>203</v>
      </c>
      <c r="D171" s="119"/>
      <c r="E171" s="117">
        <v>0</v>
      </c>
      <c r="F171" s="147">
        <v>8.1163000000000007</v>
      </c>
      <c r="G171" s="147">
        <v>8.3767999999999994</v>
      </c>
      <c r="H171" s="35">
        <f t="shared" ref="H171:H180" si="53">+G171-F171</f>
        <v>0.26049999999999862</v>
      </c>
      <c r="I171" s="50">
        <f>+ROUND(IF(H171&gt;0,H171*E171,0),4)</f>
        <v>0</v>
      </c>
      <c r="J171" s="150"/>
      <c r="K171" s="151"/>
      <c r="L171" s="152">
        <f>IFERROR(H171-'Nátok z PRDS'!H171,"N/A")</f>
        <v>0.26049999999999862</v>
      </c>
      <c r="M171" s="150"/>
    </row>
    <row r="172" spans="1:13" x14ac:dyDescent="0.25">
      <c r="A172" s="200"/>
      <c r="B172" s="200"/>
      <c r="C172" s="84" t="s">
        <v>204</v>
      </c>
      <c r="D172" s="119"/>
      <c r="E172" s="117">
        <v>0</v>
      </c>
      <c r="F172" s="117">
        <v>7.3532999999999999</v>
      </c>
      <c r="G172" s="117">
        <v>7.5892999999999997</v>
      </c>
      <c r="H172" s="35">
        <f t="shared" si="53"/>
        <v>0.23599999999999977</v>
      </c>
      <c r="I172" s="50">
        <f t="shared" ref="I172:I180" si="54">+ROUND(IF(H172&gt;0,H172*E172,0),4)</f>
        <v>0</v>
      </c>
      <c r="J172" s="151"/>
      <c r="K172" s="151"/>
      <c r="L172" s="152">
        <f>IFERROR(H172-'Nátok z PRDS'!H172,"N/A")</f>
        <v>0.23599999999999977</v>
      </c>
      <c r="M172" s="151"/>
    </row>
    <row r="173" spans="1:13" x14ac:dyDescent="0.25">
      <c r="A173" s="200"/>
      <c r="B173" s="200"/>
      <c r="C173" s="84" t="s">
        <v>205</v>
      </c>
      <c r="D173" s="119"/>
      <c r="E173" s="117">
        <v>0</v>
      </c>
      <c r="F173" s="147">
        <v>6.4203999999999999</v>
      </c>
      <c r="G173" s="147">
        <v>6.6265000000000001</v>
      </c>
      <c r="H173" s="35">
        <f t="shared" si="53"/>
        <v>0.20610000000000017</v>
      </c>
      <c r="I173" s="50">
        <f t="shared" si="54"/>
        <v>0</v>
      </c>
      <c r="J173" s="150"/>
      <c r="K173" s="151"/>
      <c r="L173" s="152">
        <f>IFERROR(H173-'Nátok z PRDS'!H173,"N/A")</f>
        <v>0.20610000000000017</v>
      </c>
      <c r="M173" s="150"/>
    </row>
    <row r="174" spans="1:13" x14ac:dyDescent="0.25">
      <c r="A174" s="200"/>
      <c r="B174" s="200"/>
      <c r="C174" s="85" t="s">
        <v>223</v>
      </c>
      <c r="D174" s="119"/>
      <c r="E174" s="117">
        <v>0</v>
      </c>
      <c r="F174" s="117"/>
      <c r="G174" s="117"/>
      <c r="H174" s="35">
        <f t="shared" si="53"/>
        <v>0</v>
      </c>
      <c r="I174" s="50">
        <f t="shared" si="54"/>
        <v>0</v>
      </c>
      <c r="J174" s="151"/>
      <c r="K174" s="151"/>
      <c r="L174" s="152">
        <f>IFERROR(H174-'Nátok z PRDS'!H174,"N/A")</f>
        <v>0</v>
      </c>
      <c r="M174" s="151"/>
    </row>
    <row r="175" spans="1:13" ht="24" x14ac:dyDescent="0.25">
      <c r="A175" s="200"/>
      <c r="B175" s="200"/>
      <c r="C175" s="84" t="s">
        <v>207</v>
      </c>
      <c r="D175" s="128"/>
      <c r="E175" s="117">
        <v>0</v>
      </c>
      <c r="F175" s="39"/>
      <c r="G175" s="39"/>
      <c r="H175" s="35">
        <f t="shared" si="53"/>
        <v>0</v>
      </c>
      <c r="I175" s="50">
        <f t="shared" si="54"/>
        <v>0</v>
      </c>
      <c r="L175" s="68">
        <f>IFERROR(H175-'Nátok z PRDS'!H175,"N/A")</f>
        <v>0</v>
      </c>
    </row>
    <row r="176" spans="1:13" ht="24" x14ac:dyDescent="0.25">
      <c r="A176" s="200"/>
      <c r="B176" s="200"/>
      <c r="C176" s="84" t="s">
        <v>208</v>
      </c>
      <c r="D176" s="128"/>
      <c r="E176" s="117">
        <v>0</v>
      </c>
      <c r="F176" s="39"/>
      <c r="G176" s="39"/>
      <c r="H176" s="35">
        <f t="shared" si="53"/>
        <v>0</v>
      </c>
      <c r="I176" s="50">
        <f t="shared" si="54"/>
        <v>0</v>
      </c>
      <c r="L176" s="68">
        <f>IFERROR(H176-'Nátok z PRDS'!H176,"N/A")</f>
        <v>0</v>
      </c>
    </row>
    <row r="177" spans="1:12" ht="24" x14ac:dyDescent="0.25">
      <c r="A177" s="200"/>
      <c r="B177" s="200"/>
      <c r="C177" s="84" t="s">
        <v>209</v>
      </c>
      <c r="D177" s="128"/>
      <c r="E177" s="117">
        <v>0</v>
      </c>
      <c r="F177" s="39"/>
      <c r="G177" s="39"/>
      <c r="H177" s="35">
        <f t="shared" si="53"/>
        <v>0</v>
      </c>
      <c r="I177" s="50">
        <f t="shared" si="54"/>
        <v>0</v>
      </c>
      <c r="L177" s="68">
        <f>IFERROR(H177-'Nátok z PRDS'!H177,"N/A")</f>
        <v>0</v>
      </c>
    </row>
    <row r="178" spans="1:12" x14ac:dyDescent="0.25">
      <c r="A178" s="200"/>
      <c r="B178" s="200"/>
      <c r="C178" s="84" t="s">
        <v>210</v>
      </c>
      <c r="D178" s="128"/>
      <c r="E178" s="117">
        <v>0</v>
      </c>
      <c r="F178" s="39"/>
      <c r="G178" s="39"/>
      <c r="H178" s="35">
        <f t="shared" si="53"/>
        <v>0</v>
      </c>
      <c r="I178" s="50">
        <f t="shared" si="54"/>
        <v>0</v>
      </c>
      <c r="L178" s="68">
        <f>IFERROR(H178-'Nátok z PRDS'!H178,"N/A")</f>
        <v>0</v>
      </c>
    </row>
    <row r="179" spans="1:12" x14ac:dyDescent="0.25">
      <c r="A179" s="200"/>
      <c r="B179" s="200"/>
      <c r="C179" s="84" t="s">
        <v>211</v>
      </c>
      <c r="D179" s="128"/>
      <c r="E179" s="117">
        <v>0</v>
      </c>
      <c r="F179" s="39"/>
      <c r="G179" s="39"/>
      <c r="H179" s="35">
        <f t="shared" si="53"/>
        <v>0</v>
      </c>
      <c r="I179" s="50">
        <f t="shared" si="54"/>
        <v>0</v>
      </c>
      <c r="L179" s="68">
        <f>IFERROR(H179-'Nátok z PRDS'!H179,"N/A")</f>
        <v>0</v>
      </c>
    </row>
    <row r="180" spans="1:12" x14ac:dyDescent="0.25">
      <c r="A180" s="200"/>
      <c r="B180" s="200"/>
      <c r="C180" s="84" t="s">
        <v>212</v>
      </c>
      <c r="D180" s="128"/>
      <c r="E180" s="117">
        <v>0</v>
      </c>
      <c r="F180" s="39"/>
      <c r="G180" s="39"/>
      <c r="H180" s="35">
        <f t="shared" si="53"/>
        <v>0</v>
      </c>
      <c r="I180" s="50">
        <f t="shared" si="54"/>
        <v>0</v>
      </c>
      <c r="L180" s="68">
        <f>IFERROR(H180-'Nátok z PRDS'!H180,"N/A")</f>
        <v>0</v>
      </c>
    </row>
    <row r="181" spans="1:12" x14ac:dyDescent="0.25">
      <c r="A181" s="200"/>
      <c r="B181" s="200"/>
      <c r="C181" s="84" t="s">
        <v>163</v>
      </c>
      <c r="D181" s="200" t="s">
        <v>249</v>
      </c>
      <c r="E181" s="205"/>
      <c r="F181" s="39">
        <v>9.0785</v>
      </c>
      <c r="G181" s="39">
        <v>7.8031999999999995</v>
      </c>
      <c r="H181" s="35" t="s">
        <v>67</v>
      </c>
      <c r="I181" s="35" t="s">
        <v>67</v>
      </c>
      <c r="L181" s="68" t="str">
        <f>IFERROR(H181-'Nátok z PRDS'!H181,"N/A")</f>
        <v>N/A</v>
      </c>
    </row>
    <row r="182" spans="1:12" x14ac:dyDescent="0.25">
      <c r="A182" s="200"/>
      <c r="B182" s="200"/>
      <c r="C182" s="84" t="s">
        <v>164</v>
      </c>
      <c r="D182" s="200"/>
      <c r="E182" s="206"/>
      <c r="F182" s="39">
        <v>3.5748000000000002</v>
      </c>
      <c r="G182" s="39">
        <v>5.6677999999999997</v>
      </c>
      <c r="H182" s="35" t="s">
        <v>67</v>
      </c>
      <c r="I182" s="35" t="s">
        <v>67</v>
      </c>
      <c r="L182" s="68" t="str">
        <f>IFERROR(H182-'Nátok z PRDS'!H182,"N/A")</f>
        <v>N/A</v>
      </c>
    </row>
    <row r="183" spans="1:12" x14ac:dyDescent="0.25">
      <c r="A183" s="200"/>
      <c r="B183" s="200"/>
      <c r="C183" s="84" t="s">
        <v>168</v>
      </c>
      <c r="D183" s="200"/>
      <c r="E183" s="207"/>
      <c r="F183" s="35">
        <f>+F181+F182</f>
        <v>12.6533</v>
      </c>
      <c r="G183" s="35">
        <f t="shared" ref="G183" si="55">+G181+G182</f>
        <v>13.471</v>
      </c>
      <c r="H183" s="35">
        <f>+G183-F183</f>
        <v>0.81770000000000032</v>
      </c>
      <c r="I183" s="50">
        <f>+ROUND(IF(H183&gt;0,H183*E181,0),4)</f>
        <v>0</v>
      </c>
      <c r="L183" s="68">
        <f>IFERROR(H183-'Nátok z PRDS'!H183,"N/A")</f>
        <v>0.81770000000000032</v>
      </c>
    </row>
    <row r="184" spans="1:12" x14ac:dyDescent="0.25">
      <c r="A184" s="200"/>
      <c r="B184" s="200"/>
      <c r="C184" s="84" t="s">
        <v>184</v>
      </c>
      <c r="D184" s="200" t="s">
        <v>249</v>
      </c>
      <c r="E184" s="205">
        <v>0</v>
      </c>
      <c r="F184" s="39">
        <v>9.0785</v>
      </c>
      <c r="G184" s="39">
        <v>7.4131</v>
      </c>
      <c r="H184" s="35" t="s">
        <v>67</v>
      </c>
      <c r="I184" s="35" t="s">
        <v>67</v>
      </c>
      <c r="L184" s="68" t="str">
        <f>IFERROR(H184-'Nátok z PRDS'!H184,"N/A")</f>
        <v>N/A</v>
      </c>
    </row>
    <row r="185" spans="1:12" x14ac:dyDescent="0.25">
      <c r="A185" s="200"/>
      <c r="B185" s="200"/>
      <c r="C185" s="84" t="s">
        <v>164</v>
      </c>
      <c r="D185" s="200"/>
      <c r="E185" s="206"/>
      <c r="F185" s="39">
        <v>3.5748000000000002</v>
      </c>
      <c r="G185" s="39">
        <v>5.6677999999999997</v>
      </c>
      <c r="H185" s="35" t="s">
        <v>67</v>
      </c>
      <c r="I185" s="35" t="s">
        <v>67</v>
      </c>
      <c r="L185" s="68" t="str">
        <f>IFERROR(H185-'Nátok z PRDS'!H185,"N/A")</f>
        <v>N/A</v>
      </c>
    </row>
    <row r="186" spans="1:12" x14ac:dyDescent="0.25">
      <c r="A186" s="200"/>
      <c r="B186" s="200"/>
      <c r="C186" s="84" t="s">
        <v>219</v>
      </c>
      <c r="D186" s="200"/>
      <c r="E186" s="207"/>
      <c r="F186" s="35">
        <f>+F184+F185</f>
        <v>12.6533</v>
      </c>
      <c r="G186" s="35">
        <f t="shared" ref="G186" si="56">+G184+G185</f>
        <v>13.0809</v>
      </c>
      <c r="H186" s="35">
        <f>+G186-F186</f>
        <v>0.42759999999999998</v>
      </c>
      <c r="I186" s="50">
        <f>+ROUND(IF(H186&gt;0,H186*E184,0),4)</f>
        <v>0</v>
      </c>
      <c r="L186" s="68">
        <f>IFERROR(H186-'Nátok z PRDS'!H186,"N/A")</f>
        <v>0.42759999999999998</v>
      </c>
    </row>
    <row r="187" spans="1:12" x14ac:dyDescent="0.25">
      <c r="A187" s="200"/>
      <c r="B187" s="200"/>
      <c r="C187" s="84" t="s">
        <v>185</v>
      </c>
      <c r="D187" s="200" t="s">
        <v>249</v>
      </c>
      <c r="E187" s="205">
        <v>0</v>
      </c>
      <c r="F187" s="39">
        <v>9.0785</v>
      </c>
      <c r="G187" s="39">
        <v>7.0228999999999999</v>
      </c>
      <c r="H187" s="35" t="s">
        <v>67</v>
      </c>
      <c r="I187" s="35" t="s">
        <v>67</v>
      </c>
      <c r="L187" s="68" t="str">
        <f>IFERROR(H187-'Nátok z PRDS'!H187,"N/A")</f>
        <v>N/A</v>
      </c>
    </row>
    <row r="188" spans="1:12" x14ac:dyDescent="0.25">
      <c r="A188" s="200"/>
      <c r="B188" s="200"/>
      <c r="C188" s="84" t="s">
        <v>164</v>
      </c>
      <c r="D188" s="200"/>
      <c r="E188" s="206"/>
      <c r="F188" s="39">
        <v>3.5748000000000002</v>
      </c>
      <c r="G188" s="39">
        <v>5.6677999999999997</v>
      </c>
      <c r="H188" s="35" t="s">
        <v>67</v>
      </c>
      <c r="I188" s="35" t="s">
        <v>67</v>
      </c>
      <c r="L188" s="68" t="str">
        <f>IFERROR(H188-'Nátok z PRDS'!H188,"N/A")</f>
        <v>N/A</v>
      </c>
    </row>
    <row r="189" spans="1:12" x14ac:dyDescent="0.25">
      <c r="A189" s="200"/>
      <c r="B189" s="200"/>
      <c r="C189" s="84" t="s">
        <v>220</v>
      </c>
      <c r="D189" s="200"/>
      <c r="E189" s="207"/>
      <c r="F189" s="35">
        <f>+F187+F188</f>
        <v>12.6533</v>
      </c>
      <c r="G189" s="35">
        <f t="shared" ref="G189" si="57">+G187+G188</f>
        <v>12.6907</v>
      </c>
      <c r="H189" s="35">
        <f>+G189-F189</f>
        <v>3.7399999999999878E-2</v>
      </c>
      <c r="I189" s="50">
        <f>+ROUND(IF(H189&gt;0,H189*E187,0),4)</f>
        <v>0</v>
      </c>
      <c r="L189" s="68">
        <f>IFERROR(H189-'Nátok z PRDS'!H189,"N/A")</f>
        <v>3.7399999999999878E-2</v>
      </c>
    </row>
    <row r="190" spans="1:12" x14ac:dyDescent="0.25">
      <c r="A190" s="199" t="s">
        <v>65</v>
      </c>
      <c r="B190" s="200" t="s">
        <v>183</v>
      </c>
      <c r="C190" s="81" t="s">
        <v>162</v>
      </c>
      <c r="D190" s="128"/>
      <c r="E190" s="117">
        <v>0</v>
      </c>
      <c r="F190" s="39"/>
      <c r="G190" s="39"/>
      <c r="H190" s="45">
        <f>+G190-F190</f>
        <v>0</v>
      </c>
      <c r="I190" s="50">
        <f>+ROUND(IF(H190&gt;0,H190*E190,0),4)</f>
        <v>0</v>
      </c>
      <c r="L190" s="68">
        <f>IFERROR(H190-'Nátok z PRDS'!H190,"N/A")</f>
        <v>0</v>
      </c>
    </row>
    <row r="191" spans="1:12" x14ac:dyDescent="0.25">
      <c r="A191" s="199"/>
      <c r="B191" s="200"/>
      <c r="C191" s="81" t="s">
        <v>163</v>
      </c>
      <c r="D191" s="200" t="s">
        <v>249</v>
      </c>
      <c r="E191" s="205">
        <v>0</v>
      </c>
      <c r="F191" s="39"/>
      <c r="G191" s="39"/>
      <c r="H191" s="45" t="s">
        <v>67</v>
      </c>
      <c r="I191" s="45" t="s">
        <v>67</v>
      </c>
      <c r="L191" s="68" t="str">
        <f>IFERROR(H191-'Nátok z PRDS'!H191,"N/A")</f>
        <v>N/A</v>
      </c>
    </row>
    <row r="192" spans="1:12" x14ac:dyDescent="0.25">
      <c r="A192" s="199"/>
      <c r="B192" s="200"/>
      <c r="C192" s="81" t="s">
        <v>164</v>
      </c>
      <c r="D192" s="200"/>
      <c r="E192" s="206"/>
      <c r="F192" s="39"/>
      <c r="G192" s="39"/>
      <c r="H192" s="45" t="s">
        <v>67</v>
      </c>
      <c r="I192" s="45" t="s">
        <v>67</v>
      </c>
      <c r="L192" s="68" t="str">
        <f>IFERROR(H192-'Nátok z PRDS'!H192,"N/A")</f>
        <v>N/A</v>
      </c>
    </row>
    <row r="193" spans="1:12" x14ac:dyDescent="0.25">
      <c r="A193" s="199"/>
      <c r="B193" s="200"/>
      <c r="C193" s="81" t="s">
        <v>168</v>
      </c>
      <c r="D193" s="200"/>
      <c r="E193" s="207"/>
      <c r="F193" s="45">
        <f>+F191+F192</f>
        <v>0</v>
      </c>
      <c r="G193" s="45">
        <f t="shared" ref="G193" si="58">+G191+G192</f>
        <v>0</v>
      </c>
      <c r="H193" s="45">
        <f>+G193-F193</f>
        <v>0</v>
      </c>
      <c r="I193" s="50">
        <f>+ROUND(IF(H193&gt;0,H193*E191,0),4)</f>
        <v>0</v>
      </c>
      <c r="L193" s="68">
        <f>IFERROR(H193-'Nátok z PRDS'!H193,"N/A")</f>
        <v>0</v>
      </c>
    </row>
    <row r="194" spans="1:12" x14ac:dyDescent="0.25">
      <c r="A194" s="226" t="s">
        <v>65</v>
      </c>
      <c r="B194" s="211" t="s">
        <v>201</v>
      </c>
      <c r="C194" s="82" t="s">
        <v>202</v>
      </c>
      <c r="D194" s="129"/>
      <c r="E194" s="118"/>
      <c r="F194" s="46">
        <v>9.7388999999999992</v>
      </c>
      <c r="G194" s="46">
        <v>10.051500000000001</v>
      </c>
      <c r="H194" s="36">
        <f>+G194-F194</f>
        <v>0.31260000000000154</v>
      </c>
      <c r="I194" s="51">
        <f>ROUND(IF(H194&gt;0,H194*E194,0),4)</f>
        <v>0</v>
      </c>
      <c r="L194" s="68">
        <f>IFERROR(H194-'Nátok z PRDS'!H194,"N/A")</f>
        <v>0.31260000000000154</v>
      </c>
    </row>
    <row r="195" spans="1:12" x14ac:dyDescent="0.25">
      <c r="A195" s="226"/>
      <c r="B195" s="211"/>
      <c r="C195" s="82" t="s">
        <v>163</v>
      </c>
      <c r="D195" s="200" t="s">
        <v>249</v>
      </c>
      <c r="E195" s="246"/>
      <c r="F195" s="46">
        <v>9.4550999999999998</v>
      </c>
      <c r="G195" s="46">
        <v>7.9349999999999996</v>
      </c>
      <c r="H195" s="36" t="s">
        <v>67</v>
      </c>
      <c r="I195" s="36" t="s">
        <v>67</v>
      </c>
      <c r="L195" s="68" t="str">
        <f>IFERROR(H195-'Nátok z PRDS'!H195,"N/A")</f>
        <v>N/A</v>
      </c>
    </row>
    <row r="196" spans="1:12" x14ac:dyDescent="0.25">
      <c r="A196" s="226"/>
      <c r="B196" s="211"/>
      <c r="C196" s="82" t="s">
        <v>164</v>
      </c>
      <c r="D196" s="200"/>
      <c r="E196" s="247"/>
      <c r="F196" s="46">
        <v>3.5748000000000002</v>
      </c>
      <c r="G196" s="46">
        <v>5.6677999999999997</v>
      </c>
      <c r="H196" s="36" t="s">
        <v>67</v>
      </c>
      <c r="I196" s="36" t="s">
        <v>67</v>
      </c>
      <c r="L196" s="68" t="str">
        <f>IFERROR(H196-'Nátok z PRDS'!H196,"N/A")</f>
        <v>N/A</v>
      </c>
    </row>
    <row r="197" spans="1:12" x14ac:dyDescent="0.25">
      <c r="A197" s="226"/>
      <c r="B197" s="211"/>
      <c r="C197" s="82" t="s">
        <v>168</v>
      </c>
      <c r="D197" s="200"/>
      <c r="E197" s="248"/>
      <c r="F197" s="36">
        <f>+F195+F196</f>
        <v>13.0299</v>
      </c>
      <c r="G197" s="36">
        <f t="shared" ref="G197" si="59">+G195+G196</f>
        <v>13.602799999999998</v>
      </c>
      <c r="H197" s="36">
        <f>+G197-F197</f>
        <v>0.57289999999999885</v>
      </c>
      <c r="I197" s="51">
        <f>ROUND(IF(H197&gt;0,H197*E195,0),4)</f>
        <v>0</v>
      </c>
      <c r="L197" s="68">
        <f>IFERROR(H197-'Nátok z PRDS'!H197,"N/A")</f>
        <v>0.57289999999999885</v>
      </c>
    </row>
    <row r="198" spans="1:12" x14ac:dyDescent="0.25">
      <c r="A198" s="199" t="s">
        <v>65</v>
      </c>
      <c r="B198" s="200" t="s">
        <v>186</v>
      </c>
      <c r="C198" s="81" t="s">
        <v>163</v>
      </c>
      <c r="D198" s="200" t="s">
        <v>249</v>
      </c>
      <c r="E198" s="205">
        <v>0</v>
      </c>
      <c r="F198" s="39"/>
      <c r="G198" s="39"/>
      <c r="H198" s="35" t="s">
        <v>67</v>
      </c>
      <c r="I198" s="35" t="s">
        <v>67</v>
      </c>
      <c r="L198" s="68" t="str">
        <f>IFERROR(H198-'Nátok z PRDS'!H198,"N/A")</f>
        <v>N/A</v>
      </c>
    </row>
    <row r="199" spans="1:12" x14ac:dyDescent="0.25">
      <c r="A199" s="199"/>
      <c r="B199" s="200"/>
      <c r="C199" s="81" t="s">
        <v>164</v>
      </c>
      <c r="D199" s="200"/>
      <c r="E199" s="206"/>
      <c r="F199" s="39"/>
      <c r="G199" s="39"/>
      <c r="H199" s="35" t="s">
        <v>67</v>
      </c>
      <c r="I199" s="35" t="s">
        <v>67</v>
      </c>
      <c r="L199" s="68" t="str">
        <f>IFERROR(H199-'Nátok z PRDS'!H199,"N/A")</f>
        <v>N/A</v>
      </c>
    </row>
    <row r="200" spans="1:12" x14ac:dyDescent="0.25">
      <c r="A200" s="199"/>
      <c r="B200" s="200"/>
      <c r="C200" s="81" t="s">
        <v>168</v>
      </c>
      <c r="D200" s="200"/>
      <c r="E200" s="207"/>
      <c r="F200" s="35">
        <f>+F198+F199</f>
        <v>0</v>
      </c>
      <c r="G200" s="35">
        <f t="shared" ref="G200" si="60">+G198+G199</f>
        <v>0</v>
      </c>
      <c r="H200" s="35">
        <f>+G200-F200</f>
        <v>0</v>
      </c>
      <c r="I200" s="50">
        <f>+ROUND(IF(H200&gt;0,H200*E198,0),4)</f>
        <v>0</v>
      </c>
      <c r="L200" s="68">
        <f>IFERROR(H200-'Nátok z PRDS'!H200,"N/A")</f>
        <v>0</v>
      </c>
    </row>
    <row r="201" spans="1:12" x14ac:dyDescent="0.25">
      <c r="A201" s="209" t="s">
        <v>65</v>
      </c>
      <c r="B201" s="210" t="s">
        <v>188</v>
      </c>
      <c r="C201" s="109" t="s">
        <v>162</v>
      </c>
      <c r="D201" s="121" t="s">
        <v>67</v>
      </c>
      <c r="E201" s="52" t="s">
        <v>67</v>
      </c>
      <c r="F201" s="52" t="s">
        <v>67</v>
      </c>
      <c r="G201" s="52" t="s">
        <v>67</v>
      </c>
      <c r="H201" s="52" t="s">
        <v>67</v>
      </c>
      <c r="I201" s="52">
        <f>+SUM(I171:I180,I190,I194)</f>
        <v>0</v>
      </c>
      <c r="L201" s="68" t="str">
        <f>IFERROR(H201-'Nátok z PRDS'!H201,"N/A")</f>
        <v>N/A</v>
      </c>
    </row>
    <row r="202" spans="1:12" x14ac:dyDescent="0.25">
      <c r="A202" s="209"/>
      <c r="B202" s="210"/>
      <c r="C202" s="109" t="s">
        <v>168</v>
      </c>
      <c r="D202" s="89" t="s">
        <v>249</v>
      </c>
      <c r="E202" s="52">
        <f>+E181+E184+E187+E191+E198+E195</f>
        <v>0</v>
      </c>
      <c r="F202" s="52" t="s">
        <v>67</v>
      </c>
      <c r="G202" s="52" t="s">
        <v>67</v>
      </c>
      <c r="H202" s="52" t="s">
        <v>67</v>
      </c>
      <c r="I202" s="52">
        <f>+I183+I186+I189+I193+I200+I197</f>
        <v>0</v>
      </c>
      <c r="L202" s="68" t="str">
        <f>IFERROR(H202-'Nátok z PRDS'!H202,"N/A")</f>
        <v>N/A</v>
      </c>
    </row>
    <row r="203" spans="1:12" x14ac:dyDescent="0.25">
      <c r="A203" s="200" t="s">
        <v>66</v>
      </c>
      <c r="B203" s="200" t="s">
        <v>173</v>
      </c>
      <c r="C203" s="84" t="s">
        <v>203</v>
      </c>
      <c r="D203" s="128"/>
      <c r="E203" s="117"/>
      <c r="F203" s="39">
        <v>3.056</v>
      </c>
      <c r="G203" s="39">
        <v>3.1417000000000002</v>
      </c>
      <c r="H203" s="35">
        <f t="shared" ref="H203:H211" si="61">+G203-F203</f>
        <v>8.5700000000000109E-2</v>
      </c>
      <c r="I203" s="50">
        <f t="shared" ref="I203:I211" si="62">+ROUND(IF(H203&gt;0,H203*E203,0),4)</f>
        <v>0</v>
      </c>
      <c r="L203" s="68"/>
    </row>
    <row r="204" spans="1:12" x14ac:dyDescent="0.25">
      <c r="A204" s="200"/>
      <c r="B204" s="200"/>
      <c r="C204" s="84" t="s">
        <v>204</v>
      </c>
      <c r="D204" s="128"/>
      <c r="E204" s="117"/>
      <c r="F204" s="39">
        <v>2.7747000000000002</v>
      </c>
      <c r="G204" s="39">
        <v>2.8525</v>
      </c>
      <c r="H204" s="35">
        <f t="shared" si="61"/>
        <v>7.7799999999999869E-2</v>
      </c>
      <c r="I204" s="50">
        <f t="shared" si="62"/>
        <v>0</v>
      </c>
      <c r="L204" s="68"/>
    </row>
    <row r="205" spans="1:12" x14ac:dyDescent="0.25">
      <c r="A205" s="200"/>
      <c r="B205" s="200"/>
      <c r="C205" s="84" t="s">
        <v>205</v>
      </c>
      <c r="D205" s="128"/>
      <c r="E205" s="117"/>
      <c r="F205" s="39">
        <v>2.3727</v>
      </c>
      <c r="G205" s="39">
        <v>2.4392</v>
      </c>
      <c r="H205" s="35">
        <f t="shared" si="61"/>
        <v>6.6500000000000004E-2</v>
      </c>
      <c r="I205" s="50">
        <f t="shared" si="62"/>
        <v>0</v>
      </c>
      <c r="L205" s="68"/>
    </row>
    <row r="206" spans="1:12" ht="24" x14ac:dyDescent="0.25">
      <c r="A206" s="200"/>
      <c r="B206" s="200"/>
      <c r="C206" s="84" t="s">
        <v>213</v>
      </c>
      <c r="D206" s="128"/>
      <c r="E206" s="117"/>
      <c r="F206" s="39"/>
      <c r="G206" s="39"/>
      <c r="H206" s="35">
        <f t="shared" si="61"/>
        <v>0</v>
      </c>
      <c r="I206" s="50">
        <f t="shared" si="62"/>
        <v>0</v>
      </c>
      <c r="L206" s="68">
        <f>IFERROR(H206-'Nátok z PRDS'!H206,"N/A")</f>
        <v>0</v>
      </c>
    </row>
    <row r="207" spans="1:12" ht="24" x14ac:dyDescent="0.25">
      <c r="A207" s="200"/>
      <c r="B207" s="200"/>
      <c r="C207" s="84" t="s">
        <v>214</v>
      </c>
      <c r="D207" s="128"/>
      <c r="E207" s="117"/>
      <c r="F207" s="39"/>
      <c r="G207" s="39"/>
      <c r="H207" s="35">
        <f t="shared" si="61"/>
        <v>0</v>
      </c>
      <c r="I207" s="50">
        <f t="shared" si="62"/>
        <v>0</v>
      </c>
      <c r="L207" s="68">
        <f>IFERROR(H207-'Nátok z PRDS'!H207,"N/A")</f>
        <v>0</v>
      </c>
    </row>
    <row r="208" spans="1:12" ht="24" x14ac:dyDescent="0.25">
      <c r="A208" s="200"/>
      <c r="B208" s="200"/>
      <c r="C208" s="84" t="s">
        <v>215</v>
      </c>
      <c r="D208" s="128"/>
      <c r="E208" s="117"/>
      <c r="F208" s="39"/>
      <c r="G208" s="39"/>
      <c r="H208" s="35">
        <f t="shared" si="61"/>
        <v>0</v>
      </c>
      <c r="I208" s="50">
        <f t="shared" si="62"/>
        <v>0</v>
      </c>
      <c r="L208" s="68">
        <f>IFERROR(H208-'Nátok z PRDS'!H208,"N/A")</f>
        <v>0</v>
      </c>
    </row>
    <row r="209" spans="1:12" x14ac:dyDescent="0.25">
      <c r="A209" s="200"/>
      <c r="B209" s="200"/>
      <c r="C209" s="84" t="s">
        <v>217</v>
      </c>
      <c r="D209" s="128"/>
      <c r="E209" s="117"/>
      <c r="F209" s="39"/>
      <c r="G209" s="39"/>
      <c r="H209" s="35">
        <f t="shared" si="61"/>
        <v>0</v>
      </c>
      <c r="I209" s="50">
        <f t="shared" si="62"/>
        <v>0</v>
      </c>
      <c r="L209" s="68">
        <f>IFERROR(H209-'Nátok z PRDS'!H209,"N/A")</f>
        <v>0</v>
      </c>
    </row>
    <row r="210" spans="1:12" x14ac:dyDescent="0.25">
      <c r="A210" s="200"/>
      <c r="B210" s="200"/>
      <c r="C210" s="84" t="s">
        <v>218</v>
      </c>
      <c r="D210" s="128"/>
      <c r="E210" s="117"/>
      <c r="F210" s="39"/>
      <c r="G210" s="39"/>
      <c r="H210" s="35">
        <f t="shared" si="61"/>
        <v>0</v>
      </c>
      <c r="I210" s="50">
        <f t="shared" si="62"/>
        <v>0</v>
      </c>
      <c r="L210" s="68">
        <f>IFERROR(H210-'Nátok z PRDS'!H210,"N/A")</f>
        <v>0</v>
      </c>
    </row>
    <row r="211" spans="1:12" x14ac:dyDescent="0.25">
      <c r="A211" s="200"/>
      <c r="B211" s="200"/>
      <c r="C211" s="84" t="s">
        <v>216</v>
      </c>
      <c r="D211" s="128"/>
      <c r="E211" s="117"/>
      <c r="F211" s="39"/>
      <c r="G211" s="39"/>
      <c r="H211" s="35">
        <f t="shared" si="61"/>
        <v>0</v>
      </c>
      <c r="I211" s="50">
        <f t="shared" si="62"/>
        <v>0</v>
      </c>
      <c r="L211" s="68">
        <f>IFERROR(H211-'Nátok z PRDS'!H211,"N/A")</f>
        <v>0</v>
      </c>
    </row>
    <row r="212" spans="1:12" x14ac:dyDescent="0.25">
      <c r="A212" s="200"/>
      <c r="B212" s="200"/>
      <c r="C212" s="81" t="s">
        <v>163</v>
      </c>
      <c r="D212" s="200" t="s">
        <v>249</v>
      </c>
      <c r="E212" s="205">
        <v>0</v>
      </c>
      <c r="F212" s="39">
        <v>8.1603999999999992</v>
      </c>
      <c r="G212" s="39">
        <v>7.5388999999999999</v>
      </c>
      <c r="H212" s="35" t="s">
        <v>67</v>
      </c>
      <c r="I212" s="35" t="s">
        <v>67</v>
      </c>
      <c r="L212" s="68" t="str">
        <f>IFERROR(H212-'Nátok z PRDS'!H212,"N/A")</f>
        <v>N/A</v>
      </c>
    </row>
    <row r="213" spans="1:12" x14ac:dyDescent="0.25">
      <c r="A213" s="200"/>
      <c r="B213" s="200"/>
      <c r="C213" s="81" t="s">
        <v>164</v>
      </c>
      <c r="D213" s="200"/>
      <c r="E213" s="206"/>
      <c r="F213" s="39">
        <v>0.74039999999999995</v>
      </c>
      <c r="G213" s="39">
        <v>2.4083999999999999</v>
      </c>
      <c r="H213" s="35" t="s">
        <v>67</v>
      </c>
      <c r="I213" s="35" t="s">
        <v>67</v>
      </c>
      <c r="L213" s="68" t="str">
        <f>IFERROR(H213-'Nátok z PRDS'!H213,"N/A")</f>
        <v>N/A</v>
      </c>
    </row>
    <row r="214" spans="1:12" x14ac:dyDescent="0.25">
      <c r="A214" s="200"/>
      <c r="B214" s="200"/>
      <c r="C214" s="81" t="s">
        <v>168</v>
      </c>
      <c r="D214" s="200"/>
      <c r="E214" s="207"/>
      <c r="F214" s="35">
        <f>+F212+F213</f>
        <v>8.9007999999999985</v>
      </c>
      <c r="G214" s="35">
        <f t="shared" ref="G214" si="63">+G212+G213</f>
        <v>9.9473000000000003</v>
      </c>
      <c r="H214" s="35">
        <f>+G214-F214</f>
        <v>1.0465000000000018</v>
      </c>
      <c r="I214" s="50">
        <f>+ROUND(IF(H214&gt;0,H214*E212,0),4)</f>
        <v>0</v>
      </c>
      <c r="L214" s="68">
        <f>IFERROR(H214-'Nátok z PRDS'!H214,"N/A")</f>
        <v>1.0465000000000018</v>
      </c>
    </row>
    <row r="215" spans="1:12" x14ac:dyDescent="0.25">
      <c r="A215" s="200"/>
      <c r="B215" s="200"/>
      <c r="C215" s="81" t="s">
        <v>184</v>
      </c>
      <c r="D215" s="200" t="s">
        <v>249</v>
      </c>
      <c r="E215" s="205">
        <v>0</v>
      </c>
      <c r="F215" s="39">
        <v>8.1603999999999992</v>
      </c>
      <c r="G215" s="39">
        <v>7.1619999999999999</v>
      </c>
      <c r="H215" s="35" t="s">
        <v>67</v>
      </c>
      <c r="I215" s="35" t="s">
        <v>67</v>
      </c>
      <c r="L215" s="68" t="str">
        <f>IFERROR(H215-'Nátok z PRDS'!H215,"N/A")</f>
        <v>N/A</v>
      </c>
    </row>
    <row r="216" spans="1:12" x14ac:dyDescent="0.25">
      <c r="A216" s="200"/>
      <c r="B216" s="200"/>
      <c r="C216" s="81" t="s">
        <v>164</v>
      </c>
      <c r="D216" s="200"/>
      <c r="E216" s="206"/>
      <c r="F216" s="39">
        <v>0.74039999999999995</v>
      </c>
      <c r="G216" s="39">
        <v>2.4083999999999999</v>
      </c>
      <c r="H216" s="35" t="s">
        <v>67</v>
      </c>
      <c r="I216" s="35" t="s">
        <v>67</v>
      </c>
      <c r="L216" s="68" t="str">
        <f>IFERROR(H216-'Nátok z PRDS'!H216,"N/A")</f>
        <v>N/A</v>
      </c>
    </row>
    <row r="217" spans="1:12" x14ac:dyDescent="0.25">
      <c r="A217" s="200"/>
      <c r="B217" s="200"/>
      <c r="C217" s="84" t="s">
        <v>219</v>
      </c>
      <c r="D217" s="200"/>
      <c r="E217" s="207"/>
      <c r="F217" s="35">
        <f>+F215+F216</f>
        <v>8.9007999999999985</v>
      </c>
      <c r="G217" s="35">
        <f t="shared" ref="G217" si="64">+G215+G216</f>
        <v>9.5703999999999994</v>
      </c>
      <c r="H217" s="35">
        <f>+G217-F217</f>
        <v>0.66960000000000086</v>
      </c>
      <c r="I217" s="50">
        <f>+ROUND(IF(H217&gt;0,H217*E215,0),4)</f>
        <v>0</v>
      </c>
      <c r="L217" s="68">
        <f>IFERROR(H217-'Nátok z PRDS'!H217,"N/A")</f>
        <v>0.66960000000000086</v>
      </c>
    </row>
    <row r="218" spans="1:12" x14ac:dyDescent="0.25">
      <c r="A218" s="200"/>
      <c r="B218" s="200"/>
      <c r="C218" s="81" t="s">
        <v>185</v>
      </c>
      <c r="D218" s="200" t="s">
        <v>249</v>
      </c>
      <c r="E218" s="205">
        <v>0</v>
      </c>
      <c r="F218" s="39">
        <v>8.1603999999999992</v>
      </c>
      <c r="G218" s="39">
        <v>6.7850000000000001</v>
      </c>
      <c r="H218" s="35" t="s">
        <v>67</v>
      </c>
      <c r="I218" s="35" t="s">
        <v>67</v>
      </c>
      <c r="L218" s="68" t="str">
        <f>IFERROR(H218-'Nátok z PRDS'!H218,"N/A")</f>
        <v>N/A</v>
      </c>
    </row>
    <row r="219" spans="1:12" x14ac:dyDescent="0.25">
      <c r="A219" s="200"/>
      <c r="B219" s="200"/>
      <c r="C219" s="81" t="s">
        <v>164</v>
      </c>
      <c r="D219" s="200"/>
      <c r="E219" s="206"/>
      <c r="F219" s="39">
        <v>0.74039999999999995</v>
      </c>
      <c r="G219" s="39">
        <v>2.4083999999999999</v>
      </c>
      <c r="H219" s="35" t="s">
        <v>67</v>
      </c>
      <c r="I219" s="35" t="s">
        <v>67</v>
      </c>
      <c r="L219" s="68" t="str">
        <f>IFERROR(H219-'Nátok z PRDS'!H219,"N/A")</f>
        <v>N/A</v>
      </c>
    </row>
    <row r="220" spans="1:12" x14ac:dyDescent="0.25">
      <c r="A220" s="200"/>
      <c r="B220" s="200"/>
      <c r="C220" s="84" t="s">
        <v>220</v>
      </c>
      <c r="D220" s="200"/>
      <c r="E220" s="207"/>
      <c r="F220" s="35">
        <f>+F218+F219</f>
        <v>8.9007999999999985</v>
      </c>
      <c r="G220" s="35">
        <f t="shared" ref="G220" si="65">+G218+G219</f>
        <v>9.1934000000000005</v>
      </c>
      <c r="H220" s="35">
        <f>+G220-F220</f>
        <v>0.29260000000000197</v>
      </c>
      <c r="I220" s="50">
        <f>+ROUND(IF(H220&gt;0,H220*E218,0),4)</f>
        <v>0</v>
      </c>
      <c r="L220" s="68">
        <f>IFERROR(H220-'Nátok z PRDS'!H220,"N/A")</f>
        <v>0.29260000000000197</v>
      </c>
    </row>
    <row r="221" spans="1:12" x14ac:dyDescent="0.25">
      <c r="A221" s="209" t="s">
        <v>66</v>
      </c>
      <c r="B221" s="210" t="s">
        <v>188</v>
      </c>
      <c r="C221" s="109" t="s">
        <v>162</v>
      </c>
      <c r="D221" s="121" t="s">
        <v>67</v>
      </c>
      <c r="E221" s="52" t="s">
        <v>67</v>
      </c>
      <c r="F221" s="52" t="s">
        <v>67</v>
      </c>
      <c r="G221" s="52" t="s">
        <v>67</v>
      </c>
      <c r="H221" s="52" t="s">
        <v>67</v>
      </c>
      <c r="I221" s="96">
        <f>+SUM(I203:I211)</f>
        <v>0</v>
      </c>
      <c r="K221" t="s">
        <v>271</v>
      </c>
      <c r="L221" s="71">
        <f>SUM(L5:L220)</f>
        <v>48.088699999999996</v>
      </c>
    </row>
    <row r="222" spans="1:12" ht="15.75" thickBot="1" x14ac:dyDescent="0.3">
      <c r="A222" s="209"/>
      <c r="B222" s="210"/>
      <c r="C222" s="110" t="s">
        <v>168</v>
      </c>
      <c r="D222" s="90" t="s">
        <v>249</v>
      </c>
      <c r="E222" s="95">
        <f>+E212+E215+E218</f>
        <v>0</v>
      </c>
      <c r="F222" s="95" t="s">
        <v>67</v>
      </c>
      <c r="G222" s="95" t="s">
        <v>67</v>
      </c>
      <c r="H222" s="95" t="s">
        <v>67</v>
      </c>
      <c r="I222" s="97">
        <f>+I214+I217+I220</f>
        <v>0</v>
      </c>
    </row>
    <row r="223" spans="1:12" ht="15.75" thickBot="1" x14ac:dyDescent="0.3">
      <c r="A223" s="78"/>
      <c r="B223" s="105"/>
      <c r="C223" s="86" t="s">
        <v>258</v>
      </c>
      <c r="D223" s="91"/>
      <c r="E223" s="123" t="s">
        <v>67</v>
      </c>
      <c r="F223" s="123" t="s">
        <v>67</v>
      </c>
      <c r="G223" s="123" t="s">
        <v>67</v>
      </c>
      <c r="H223" s="55" t="s">
        <v>67</v>
      </c>
      <c r="I223" s="56">
        <f>ROUND(SUM(I77:I78,I169:I170,I201:I202,I221:I222),4)</f>
        <v>0</v>
      </c>
    </row>
    <row r="224" spans="1:12" ht="15.75" thickBot="1" x14ac:dyDescent="0.3">
      <c r="A224" s="78"/>
      <c r="B224" s="105"/>
      <c r="C224" s="87" t="s">
        <v>68</v>
      </c>
      <c r="D224" s="92"/>
      <c r="E224" s="124" t="s">
        <v>67</v>
      </c>
      <c r="F224" s="124" t="s">
        <v>67</v>
      </c>
      <c r="G224" s="124" t="s">
        <v>67</v>
      </c>
      <c r="H224" s="53" t="s">
        <v>67</v>
      </c>
      <c r="I224" s="54">
        <f>ROUND(I225-I223,4)</f>
        <v>0</v>
      </c>
    </row>
    <row r="225" spans="1:9" ht="16.5" thickBot="1" x14ac:dyDescent="0.3">
      <c r="A225" s="78"/>
      <c r="B225" s="105"/>
      <c r="C225" s="88" t="s">
        <v>69</v>
      </c>
      <c r="D225" s="93"/>
      <c r="E225" s="125" t="s">
        <v>67</v>
      </c>
      <c r="F225" s="125" t="s">
        <v>67</v>
      </c>
      <c r="G225" s="125" t="s">
        <v>67</v>
      </c>
      <c r="H225" s="59" t="s">
        <v>67</v>
      </c>
      <c r="I225" s="60">
        <f>+ROUND(I223*1.2,4)</f>
        <v>0</v>
      </c>
    </row>
  </sheetData>
  <sheetProtection algorithmName="SHA-512" hashValue="gtvHLyuxHmgoKKrzTkAXGwYGQdPS1GjStW0odxZbxnEVhI7UqhQOZLNjrtiiYm9H0CrxuoAC5ogRWurUGOZTcg==" saltValue="FsC61TZpk9UAYzD9VETtbA==" spinCount="100000" sheet="1" selectLockedCells="1"/>
  <mergeCells count="169">
    <mergeCell ref="A221:A222"/>
    <mergeCell ref="B221:B222"/>
    <mergeCell ref="A203:A220"/>
    <mergeCell ref="B203:B220"/>
    <mergeCell ref="D212:D214"/>
    <mergeCell ref="E212:E214"/>
    <mergeCell ref="D215:D217"/>
    <mergeCell ref="E215:E217"/>
    <mergeCell ref="D218:D220"/>
    <mergeCell ref="E218:E220"/>
    <mergeCell ref="A198:A200"/>
    <mergeCell ref="B198:B200"/>
    <mergeCell ref="D198:D200"/>
    <mergeCell ref="E198:E200"/>
    <mergeCell ref="A201:A202"/>
    <mergeCell ref="B201:B202"/>
    <mergeCell ref="A190:A193"/>
    <mergeCell ref="B190:B193"/>
    <mergeCell ref="D191:D193"/>
    <mergeCell ref="E191:E193"/>
    <mergeCell ref="A194:A197"/>
    <mergeCell ref="B194:B197"/>
    <mergeCell ref="D195:D197"/>
    <mergeCell ref="E195:E197"/>
    <mergeCell ref="A169:A170"/>
    <mergeCell ref="B169:B170"/>
    <mergeCell ref="A171:A189"/>
    <mergeCell ref="B171:B189"/>
    <mergeCell ref="D181:D183"/>
    <mergeCell ref="E181:E183"/>
    <mergeCell ref="D184:D186"/>
    <mergeCell ref="E184:E186"/>
    <mergeCell ref="D187:D189"/>
    <mergeCell ref="E187:E189"/>
    <mergeCell ref="A155:A168"/>
    <mergeCell ref="B155:B168"/>
    <mergeCell ref="D157:D159"/>
    <mergeCell ref="E157:E159"/>
    <mergeCell ref="D160:D162"/>
    <mergeCell ref="E160:E162"/>
    <mergeCell ref="D163:D165"/>
    <mergeCell ref="E163:E165"/>
    <mergeCell ref="D166:D168"/>
    <mergeCell ref="E166:E168"/>
    <mergeCell ref="A141:A146"/>
    <mergeCell ref="B141:B146"/>
    <mergeCell ref="D144:D146"/>
    <mergeCell ref="E144:E146"/>
    <mergeCell ref="A147:A154"/>
    <mergeCell ref="B147:B154"/>
    <mergeCell ref="D149:D151"/>
    <mergeCell ref="E149:E151"/>
    <mergeCell ref="D152:D154"/>
    <mergeCell ref="E152:E154"/>
    <mergeCell ref="A134:A135"/>
    <mergeCell ref="B134:B135"/>
    <mergeCell ref="A136:A140"/>
    <mergeCell ref="B136:B140"/>
    <mergeCell ref="D138:D140"/>
    <mergeCell ref="E138:E140"/>
    <mergeCell ref="A126:A133"/>
    <mergeCell ref="B126:B133"/>
    <mergeCell ref="D128:D130"/>
    <mergeCell ref="E128:E130"/>
    <mergeCell ref="D131:D133"/>
    <mergeCell ref="E131:E133"/>
    <mergeCell ref="A118:A125"/>
    <mergeCell ref="B118:B125"/>
    <mergeCell ref="D120:D122"/>
    <mergeCell ref="E120:E122"/>
    <mergeCell ref="D123:D125"/>
    <mergeCell ref="E123:E125"/>
    <mergeCell ref="A110:A117"/>
    <mergeCell ref="B110:B117"/>
    <mergeCell ref="D112:D114"/>
    <mergeCell ref="E112:E114"/>
    <mergeCell ref="D115:D117"/>
    <mergeCell ref="E115:E117"/>
    <mergeCell ref="A102:A109"/>
    <mergeCell ref="B102:B109"/>
    <mergeCell ref="D104:D106"/>
    <mergeCell ref="E104:E106"/>
    <mergeCell ref="D107:D109"/>
    <mergeCell ref="E107:E109"/>
    <mergeCell ref="A94:A101"/>
    <mergeCell ref="B94:B101"/>
    <mergeCell ref="D96:D98"/>
    <mergeCell ref="E96:E98"/>
    <mergeCell ref="D99:D101"/>
    <mergeCell ref="E99:E101"/>
    <mergeCell ref="A84:A88"/>
    <mergeCell ref="B84:B88"/>
    <mergeCell ref="D86:D88"/>
    <mergeCell ref="E86:E88"/>
    <mergeCell ref="A89:A93"/>
    <mergeCell ref="B89:B93"/>
    <mergeCell ref="D91:D93"/>
    <mergeCell ref="E91:E93"/>
    <mergeCell ref="A77:A78"/>
    <mergeCell ref="B77:B78"/>
    <mergeCell ref="A79:A83"/>
    <mergeCell ref="B79:B83"/>
    <mergeCell ref="D81:D83"/>
    <mergeCell ref="E81:E83"/>
    <mergeCell ref="A64:A76"/>
    <mergeCell ref="B64:B76"/>
    <mergeCell ref="D65:D67"/>
    <mergeCell ref="E65:E67"/>
    <mergeCell ref="D68:D70"/>
    <mergeCell ref="E68:E70"/>
    <mergeCell ref="D71:D73"/>
    <mergeCell ref="E71:E73"/>
    <mergeCell ref="D74:D76"/>
    <mergeCell ref="E74:E76"/>
    <mergeCell ref="A57:A63"/>
    <mergeCell ref="B57:B63"/>
    <mergeCell ref="D58:D60"/>
    <mergeCell ref="E58:E60"/>
    <mergeCell ref="D61:D63"/>
    <mergeCell ref="E61:E63"/>
    <mergeCell ref="A50:A56"/>
    <mergeCell ref="B50:B56"/>
    <mergeCell ref="D51:D53"/>
    <mergeCell ref="E51:E53"/>
    <mergeCell ref="D54:D56"/>
    <mergeCell ref="E54:E56"/>
    <mergeCell ref="A43:A49"/>
    <mergeCell ref="B43:B49"/>
    <mergeCell ref="D44:D46"/>
    <mergeCell ref="E44:E46"/>
    <mergeCell ref="D47:D49"/>
    <mergeCell ref="E47:E49"/>
    <mergeCell ref="A36:A42"/>
    <mergeCell ref="B36:B42"/>
    <mergeCell ref="D37:D39"/>
    <mergeCell ref="E37:E39"/>
    <mergeCell ref="D40:D42"/>
    <mergeCell ref="E40:E42"/>
    <mergeCell ref="A29:A35"/>
    <mergeCell ref="B29:B35"/>
    <mergeCell ref="D30:D32"/>
    <mergeCell ref="E30:E32"/>
    <mergeCell ref="D33:D35"/>
    <mergeCell ref="E33:E35"/>
    <mergeCell ref="A21:A28"/>
    <mergeCell ref="B21:B28"/>
    <mergeCell ref="D23:D25"/>
    <mergeCell ref="E23:E25"/>
    <mergeCell ref="D26:D28"/>
    <mergeCell ref="E26:E28"/>
    <mergeCell ref="A9:A13"/>
    <mergeCell ref="B9:B13"/>
    <mergeCell ref="D11:D13"/>
    <mergeCell ref="E11:E13"/>
    <mergeCell ref="A14:A20"/>
    <mergeCell ref="B14:B20"/>
    <mergeCell ref="D15:D17"/>
    <mergeCell ref="E15:E17"/>
    <mergeCell ref="D18:D20"/>
    <mergeCell ref="E18:E20"/>
    <mergeCell ref="A1:I1"/>
    <mergeCell ref="A2:A4"/>
    <mergeCell ref="B2:B4"/>
    <mergeCell ref="C2:C4"/>
    <mergeCell ref="D2:D4"/>
    <mergeCell ref="A5:A8"/>
    <mergeCell ref="B5:B8"/>
    <mergeCell ref="D6:D8"/>
    <mergeCell ref="E6:E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workbookViewId="0"/>
  </sheetViews>
  <sheetFormatPr defaultRowHeight="15" x14ac:dyDescent="0.25"/>
  <cols>
    <col min="1" max="1" width="30.85546875" customWidth="1"/>
  </cols>
  <sheetData>
    <row r="1" spans="1:1" x14ac:dyDescent="0.25">
      <c r="A1" s="5" t="s">
        <v>70</v>
      </c>
    </row>
    <row r="2" spans="1:1" x14ac:dyDescent="0.25">
      <c r="A2" s="5" t="s">
        <v>71</v>
      </c>
    </row>
    <row r="3" spans="1:1" x14ac:dyDescent="0.25">
      <c r="A3" s="5" t="s">
        <v>72</v>
      </c>
    </row>
    <row r="4" spans="1:1" x14ac:dyDescent="0.25">
      <c r="A4" s="5" t="s">
        <v>73</v>
      </c>
    </row>
    <row r="5" spans="1:1" x14ac:dyDescent="0.25">
      <c r="A5" s="5" t="s">
        <v>74</v>
      </c>
    </row>
    <row r="6" spans="1:1" x14ac:dyDescent="0.25">
      <c r="A6" s="5" t="s">
        <v>75</v>
      </c>
    </row>
    <row r="7" spans="1:1" x14ac:dyDescent="0.25">
      <c r="A7" s="5" t="s">
        <v>76</v>
      </c>
    </row>
    <row r="8" spans="1:1" x14ac:dyDescent="0.25">
      <c r="A8" s="5" t="s">
        <v>77</v>
      </c>
    </row>
    <row r="9" spans="1:1" x14ac:dyDescent="0.25">
      <c r="A9" s="5" t="s">
        <v>78</v>
      </c>
    </row>
    <row r="10" spans="1:1" x14ac:dyDescent="0.25">
      <c r="A10" s="5" t="s">
        <v>79</v>
      </c>
    </row>
    <row r="11" spans="1:1" x14ac:dyDescent="0.25">
      <c r="A11" s="5" t="s">
        <v>80</v>
      </c>
    </row>
    <row r="12" spans="1:1" x14ac:dyDescent="0.25">
      <c r="A12" s="5" t="s">
        <v>81</v>
      </c>
    </row>
    <row r="13" spans="1:1" x14ac:dyDescent="0.25">
      <c r="A13" s="5" t="s">
        <v>82</v>
      </c>
    </row>
    <row r="14" spans="1:1" x14ac:dyDescent="0.25">
      <c r="A14" s="5" t="s">
        <v>83</v>
      </c>
    </row>
    <row r="15" spans="1:1" x14ac:dyDescent="0.25">
      <c r="A15" s="5" t="s">
        <v>84</v>
      </c>
    </row>
    <row r="16" spans="1:1" x14ac:dyDescent="0.25">
      <c r="A16" s="5" t="s">
        <v>85</v>
      </c>
    </row>
    <row r="17" spans="1:1" x14ac:dyDescent="0.25">
      <c r="A17" s="5" t="s">
        <v>86</v>
      </c>
    </row>
    <row r="18" spans="1:1" x14ac:dyDescent="0.25">
      <c r="A18" s="5" t="s">
        <v>87</v>
      </c>
    </row>
    <row r="19" spans="1:1" x14ac:dyDescent="0.25">
      <c r="A19" s="5" t="s">
        <v>88</v>
      </c>
    </row>
    <row r="20" spans="1:1" x14ac:dyDescent="0.25">
      <c r="A20" s="5" t="s">
        <v>89</v>
      </c>
    </row>
    <row r="21" spans="1:1" x14ac:dyDescent="0.25">
      <c r="A21" s="5" t="s">
        <v>90</v>
      </c>
    </row>
    <row r="22" spans="1:1" x14ac:dyDescent="0.25">
      <c r="A22" s="5" t="s">
        <v>91</v>
      </c>
    </row>
    <row r="23" spans="1:1" x14ac:dyDescent="0.25">
      <c r="A23" s="5" t="s">
        <v>92</v>
      </c>
    </row>
    <row r="24" spans="1:1" x14ac:dyDescent="0.25">
      <c r="A24" s="5" t="s">
        <v>93</v>
      </c>
    </row>
    <row r="25" spans="1:1" x14ac:dyDescent="0.25">
      <c r="A25" s="5" t="s">
        <v>94</v>
      </c>
    </row>
    <row r="26" spans="1:1" x14ac:dyDescent="0.25">
      <c r="A26" s="5" t="s">
        <v>95</v>
      </c>
    </row>
    <row r="27" spans="1:1" x14ac:dyDescent="0.25">
      <c r="A27" s="5" t="s">
        <v>96</v>
      </c>
    </row>
    <row r="28" spans="1:1" x14ac:dyDescent="0.25">
      <c r="A28" s="5" t="s">
        <v>97</v>
      </c>
    </row>
    <row r="29" spans="1:1" x14ac:dyDescent="0.25">
      <c r="A29" s="5" t="s">
        <v>98</v>
      </c>
    </row>
    <row r="30" spans="1:1" x14ac:dyDescent="0.25">
      <c r="A30" s="5" t="s">
        <v>99</v>
      </c>
    </row>
    <row r="31" spans="1:1" x14ac:dyDescent="0.25">
      <c r="A31" s="5" t="s">
        <v>100</v>
      </c>
    </row>
    <row r="32" spans="1:1" x14ac:dyDescent="0.25">
      <c r="A32" s="5" t="s">
        <v>101</v>
      </c>
    </row>
    <row r="33" spans="1:1" x14ac:dyDescent="0.25">
      <c r="A33" s="5" t="s">
        <v>102</v>
      </c>
    </row>
    <row r="34" spans="1:1" x14ac:dyDescent="0.25">
      <c r="A34" s="5" t="s">
        <v>103</v>
      </c>
    </row>
    <row r="35" spans="1:1" x14ac:dyDescent="0.25">
      <c r="A35" s="5" t="s">
        <v>104</v>
      </c>
    </row>
    <row r="36" spans="1:1" x14ac:dyDescent="0.25">
      <c r="A36" s="5" t="s">
        <v>105</v>
      </c>
    </row>
    <row r="37" spans="1:1" x14ac:dyDescent="0.25">
      <c r="A37" s="5" t="s">
        <v>106</v>
      </c>
    </row>
    <row r="38" spans="1:1" x14ac:dyDescent="0.25">
      <c r="A38" s="5" t="s">
        <v>107</v>
      </c>
    </row>
    <row r="39" spans="1:1" x14ac:dyDescent="0.25">
      <c r="A39" s="5" t="s">
        <v>108</v>
      </c>
    </row>
    <row r="40" spans="1:1" x14ac:dyDescent="0.25">
      <c r="A40" s="5" t="s">
        <v>109</v>
      </c>
    </row>
    <row r="41" spans="1:1" x14ac:dyDescent="0.25">
      <c r="A41" s="5" t="s">
        <v>110</v>
      </c>
    </row>
    <row r="42" spans="1:1" x14ac:dyDescent="0.25">
      <c r="A42" s="5" t="s">
        <v>111</v>
      </c>
    </row>
    <row r="43" spans="1:1" x14ac:dyDescent="0.25">
      <c r="A43" s="5" t="s">
        <v>112</v>
      </c>
    </row>
    <row r="44" spans="1:1" x14ac:dyDescent="0.25">
      <c r="A44" s="5" t="s">
        <v>113</v>
      </c>
    </row>
    <row r="45" spans="1:1" x14ac:dyDescent="0.25">
      <c r="A45" s="5" t="s">
        <v>114</v>
      </c>
    </row>
    <row r="46" spans="1:1" x14ac:dyDescent="0.25">
      <c r="A46" s="5" t="s">
        <v>115</v>
      </c>
    </row>
    <row r="47" spans="1:1" x14ac:dyDescent="0.25">
      <c r="A47" s="5" t="s">
        <v>116</v>
      </c>
    </row>
    <row r="48" spans="1:1" x14ac:dyDescent="0.25">
      <c r="A48" s="5" t="s">
        <v>117</v>
      </c>
    </row>
    <row r="49" spans="1:1" x14ac:dyDescent="0.25">
      <c r="A49" s="5" t="s">
        <v>118</v>
      </c>
    </row>
    <row r="50" spans="1:1" x14ac:dyDescent="0.25">
      <c r="A50" s="5" t="s">
        <v>119</v>
      </c>
    </row>
    <row r="51" spans="1:1" x14ac:dyDescent="0.25">
      <c r="A51" s="5" t="s">
        <v>120</v>
      </c>
    </row>
    <row r="52" spans="1:1" x14ac:dyDescent="0.25">
      <c r="A52" s="5" t="s">
        <v>121</v>
      </c>
    </row>
    <row r="53" spans="1:1" x14ac:dyDescent="0.25">
      <c r="A53" s="5" t="s">
        <v>122</v>
      </c>
    </row>
    <row r="54" spans="1:1" x14ac:dyDescent="0.25">
      <c r="A54" s="5" t="s">
        <v>123</v>
      </c>
    </row>
    <row r="55" spans="1:1" x14ac:dyDescent="0.25">
      <c r="A55" s="5" t="s">
        <v>124</v>
      </c>
    </row>
    <row r="56" spans="1:1" x14ac:dyDescent="0.25">
      <c r="A56" s="5" t="s">
        <v>125</v>
      </c>
    </row>
    <row r="57" spans="1:1" x14ac:dyDescent="0.25">
      <c r="A57" s="5" t="s">
        <v>126</v>
      </c>
    </row>
    <row r="58" spans="1:1" x14ac:dyDescent="0.25">
      <c r="A58" s="5" t="s">
        <v>127</v>
      </c>
    </row>
    <row r="59" spans="1:1" x14ac:dyDescent="0.25">
      <c r="A59" s="5" t="s">
        <v>128</v>
      </c>
    </row>
    <row r="60" spans="1:1" x14ac:dyDescent="0.25">
      <c r="A60" s="5" t="s">
        <v>129</v>
      </c>
    </row>
    <row r="61" spans="1:1" x14ac:dyDescent="0.25">
      <c r="A61" s="5" t="s">
        <v>130</v>
      </c>
    </row>
    <row r="62" spans="1:1" x14ac:dyDescent="0.25">
      <c r="A62" s="5" t="s">
        <v>131</v>
      </c>
    </row>
    <row r="63" spans="1:1" x14ac:dyDescent="0.25">
      <c r="A63" s="5" t="s">
        <v>132</v>
      </c>
    </row>
    <row r="64" spans="1:1" x14ac:dyDescent="0.25">
      <c r="A64" s="5" t="s">
        <v>133</v>
      </c>
    </row>
    <row r="65" spans="1:1" x14ac:dyDescent="0.25">
      <c r="A65" s="5" t="s">
        <v>134</v>
      </c>
    </row>
    <row r="66" spans="1:1" x14ac:dyDescent="0.25">
      <c r="A66" s="5" t="s">
        <v>135</v>
      </c>
    </row>
    <row r="67" spans="1:1" x14ac:dyDescent="0.25">
      <c r="A67" s="5" t="s">
        <v>136</v>
      </c>
    </row>
    <row r="68" spans="1:1" x14ac:dyDescent="0.25">
      <c r="A68" s="5" t="s">
        <v>137</v>
      </c>
    </row>
    <row r="69" spans="1:1" x14ac:dyDescent="0.25">
      <c r="A69" s="5" t="s">
        <v>138</v>
      </c>
    </row>
    <row r="70" spans="1:1" x14ac:dyDescent="0.25">
      <c r="A70" s="5" t="s">
        <v>139</v>
      </c>
    </row>
    <row r="71" spans="1:1" x14ac:dyDescent="0.25">
      <c r="A71" s="5" t="s">
        <v>140</v>
      </c>
    </row>
    <row r="72" spans="1:1" x14ac:dyDescent="0.25">
      <c r="A72" s="5" t="s">
        <v>141</v>
      </c>
    </row>
    <row r="73" spans="1:1" x14ac:dyDescent="0.25">
      <c r="A73" s="5" t="s">
        <v>142</v>
      </c>
    </row>
    <row r="74" spans="1:1" x14ac:dyDescent="0.25">
      <c r="A74" s="5" t="s">
        <v>143</v>
      </c>
    </row>
    <row r="75" spans="1:1" x14ac:dyDescent="0.25">
      <c r="A75" s="5" t="s">
        <v>144</v>
      </c>
    </row>
    <row r="76" spans="1:1" x14ac:dyDescent="0.25">
      <c r="A76" s="5" t="s">
        <v>145</v>
      </c>
    </row>
    <row r="77" spans="1:1" x14ac:dyDescent="0.25">
      <c r="A77" s="5" t="s">
        <v>146</v>
      </c>
    </row>
    <row r="78" spans="1:1" x14ac:dyDescent="0.25">
      <c r="A78" s="5" t="s">
        <v>147</v>
      </c>
    </row>
    <row r="79" spans="1:1" x14ac:dyDescent="0.25">
      <c r="A79" s="5" t="s">
        <v>148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workbookViewId="0"/>
  </sheetViews>
  <sheetFormatPr defaultRowHeight="15" x14ac:dyDescent="0.25"/>
  <cols>
    <col min="10" max="10" width="11.28515625" bestFit="1" customWidth="1"/>
    <col min="13" max="13" width="11.28515625" bestFit="1" customWidth="1"/>
    <col min="14" max="14" width="13.85546875" bestFit="1" customWidth="1"/>
    <col min="15" max="15" width="11.28515625" bestFit="1" customWidth="1"/>
    <col min="16" max="18" width="12.85546875" bestFit="1" customWidth="1"/>
  </cols>
  <sheetData>
    <row r="1" spans="1:19" ht="48" x14ac:dyDescent="0.25">
      <c r="A1" s="6" t="s">
        <v>149</v>
      </c>
      <c r="B1" s="6" t="s">
        <v>5</v>
      </c>
      <c r="C1" s="6" t="s">
        <v>8</v>
      </c>
      <c r="D1" s="6" t="s">
        <v>10</v>
      </c>
      <c r="E1" s="6" t="s">
        <v>11</v>
      </c>
      <c r="F1" s="6" t="s">
        <v>12</v>
      </c>
      <c r="G1" s="6" t="s">
        <v>2</v>
      </c>
      <c r="H1" s="7" t="s">
        <v>3</v>
      </c>
      <c r="I1" s="7" t="s">
        <v>150</v>
      </c>
      <c r="J1" s="6" t="s">
        <v>20</v>
      </c>
      <c r="K1" s="6" t="s">
        <v>151</v>
      </c>
      <c r="L1" s="6" t="s">
        <v>152</v>
      </c>
      <c r="M1" s="6" t="s">
        <v>153</v>
      </c>
      <c r="N1" s="8" t="s">
        <v>154</v>
      </c>
      <c r="O1" s="6" t="s">
        <v>155</v>
      </c>
      <c r="P1" s="6" t="s">
        <v>156</v>
      </c>
      <c r="Q1" s="6" t="s">
        <v>157</v>
      </c>
      <c r="R1" s="6" t="s">
        <v>158</v>
      </c>
      <c r="S1" s="6" t="s">
        <v>159</v>
      </c>
    </row>
    <row r="2" spans="1:19" x14ac:dyDescent="0.25">
      <c r="B2">
        <f>'PDS-PPS-OKTE'!B9</f>
        <v>0</v>
      </c>
      <c r="C2">
        <f>'PDS-PPS-OKTE'!B16</f>
        <v>0</v>
      </c>
      <c r="D2">
        <f>'PDS-PPS-OKTE'!F16</f>
        <v>0</v>
      </c>
      <c r="E2">
        <f>'PDS-PPS-OKTE'!B19</f>
        <v>0</v>
      </c>
      <c r="F2">
        <f>'PDS-PPS-OKTE'!D19</f>
        <v>0</v>
      </c>
      <c r="G2">
        <f>'PDS-PPS-OKTE'!B6</f>
        <v>0</v>
      </c>
      <c r="H2">
        <f>'PDS-PPS-OKTE'!D6</f>
        <v>0</v>
      </c>
      <c r="I2">
        <f>'PDS-PPS-OKTE'!F6</f>
        <v>0</v>
      </c>
      <c r="J2">
        <f>'PDS-PPS-OKTE'!B33</f>
        <v>0</v>
      </c>
      <c r="K2" s="1" t="s">
        <v>160</v>
      </c>
      <c r="L2" s="1" t="s">
        <v>161</v>
      </c>
      <c r="M2">
        <f>'PDS-PPS-OKTE'!B48</f>
        <v>0</v>
      </c>
      <c r="N2" s="9" t="e">
        <f>#REF!</f>
        <v>#REF!</v>
      </c>
      <c r="O2" s="2" t="str">
        <f>IF('PDS-PPS-OKTE'!B103="","ÁNO","NIE")</f>
        <v>NIE</v>
      </c>
      <c r="P2" s="4" t="s">
        <v>49</v>
      </c>
      <c r="Q2" s="4" t="s">
        <v>49</v>
      </c>
      <c r="R2" s="4" t="s">
        <v>49</v>
      </c>
    </row>
  </sheetData>
  <dataValidations count="1">
    <dataValidation type="list" allowBlank="1" showInputMessage="1" showErrorMessage="1" prompt="ZVOLIŤ MOŽNOSŤ" sqref="P2:R2">
      <formula1>"Zvoliť možnosť, ÁNO, NIE"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164DE7DC3DCB418B518C9F80E743FE" ma:contentTypeVersion="17" ma:contentTypeDescription="Umožňuje vytvoriť nový dokument." ma:contentTypeScope="" ma:versionID="aad537cf70b97c759c5c1420c856f494">
  <xsd:schema xmlns:xsd="http://www.w3.org/2001/XMLSchema" xmlns:xs="http://www.w3.org/2001/XMLSchema" xmlns:p="http://schemas.microsoft.com/office/2006/metadata/properties" xmlns:ns3="a0306c2e-2ed6-4f7c-8e8d-dc84666b0b98" xmlns:ns4="9754410a-62e8-4354-a353-ce3b86e7de89" targetNamespace="http://schemas.microsoft.com/office/2006/metadata/properties" ma:root="true" ma:fieldsID="80aaf9d69e13ecf12be8c52143b66736" ns3:_="" ns4:_="">
    <xsd:import namespace="a0306c2e-2ed6-4f7c-8e8d-dc84666b0b98"/>
    <xsd:import namespace="9754410a-62e8-4354-a353-ce3b86e7de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306c2e-2ed6-4f7c-8e8d-dc84666b0b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4410a-62e8-4354-a353-ce3b86e7de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Q D A A B Q S w M E F A A C A A g A + D m H V 4 R f w N u l A A A A 9 w A A A B I A H A B D b 2 5 m a W c v U G F j a 2 F n Z S 5 4 b W w g o h g A K K A U A A A A A A A A A A A A A A A A A A A A A A A A A A A A h Y + x D o I w G I R f h X S n L c X B k J 8 y O C q J C Y l x b U q F B i i G F s u 7 O f h I v o I Y R d 0 c 7 + 6 7 5 O 5 + v U E 2 d W 1 w U Y P V v U l R h C k K l J F 9 q U 2 V o t G d w j X K O O y F b E S l g h k 2 N p m s T l H t 3 D k h x H u P f Y z 7 o S K M 0 o g c 8 1 0 h a 9 W J U B v r h J E K f V r l / x b i c H i N 4 Q x H 0 Q o z x m J M g S w u 5 N p 8 C T Y P f q Y / J m z G 1 o 2 D 4 r Y J i y 2 Q R Q J 5 n + A P U E s D B B Q A A g A I A P g 5 h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4 O Y d X 5 t d + k a 0 A A A D b A A A A E w A c A E Z v c m 1 1 b G F z L 1 N l Y 3 R p b 2 4 x L m 0 g o h g A K K A U A A A A A A A A A A A A A A A A A A A A A A A A A A A A b Y 2 9 C o M w H M T 3 Q N 4 h p I s F E e w q T t K 1 i 0 J B c Y j 6 L 7 X m Q 5 I I i v h i h X a p D 9 a 0 Q q f e c n D c / c 5 A b V s l S b p 5 G G G E k b k y D Q 3 J W D W s z 4 4 d S E w 4 W I y I U 9 5 o d X P B c a y B B 8 m g N U h 7 V r q r l O q 8 / V y c m I C Y / r a 0 X I p E S e t a p b 8 h d j Q X I E G + H s R O P X U w 1 + Y Q Z J p J c 1 F a J I o P Q m Z T D 8 b 7 / v n z T F O 7 3 n u o Q + p / V k A s j H Z Z 9 h i 1 8 i 8 2 e g N Q S w E C L Q A U A A I A C A D 4 O Y d X h F / A 2 6 U A A A D 3 A A A A E g A A A A A A A A A A A A A A A A A A A A A A Q 2 9 u Z m l n L 1 B h Y 2 t h Z 2 U u e G 1 s U E s B A i 0 A F A A C A A g A + D m H V w / K 6 a u k A A A A 6 Q A A A B M A A A A A A A A A A A A A A A A A 8 Q A A A F t D b 2 5 0 Z W 5 0 X 1 R 5 c G V z X S 5 4 b W x Q S w E C L Q A U A A I A C A D 4 O Y d X 5 t d + k a 0 A A A D b A A A A E w A A A A A A A A A A A A A A A A D i A Q A A R m 9 y b X V s Y X M v U 2 V j d G l v b j E u b V B L B Q Y A A A A A A w A D A M I A A A D c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i C A A A A A A A A A A I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1 J U M 0 J U J F a 2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8 O h Y 2 l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D d U M D Y 6 M T U 6 M j A u M D E 1 O T M 0 O F o i I C 8 + P E V u d H J 5 I F R 5 c G U 9 I k Z p b G x D b 2 x 1 b W 5 U e X B l c y I g V m F s d W U 9 I n N C Z z 0 9 I i A v P j x F b n R y e S B U e X B l P S J G a W x s Q 2 9 s d W 1 u T m F t Z X M i I F Z h b H V l P S J z W y Z x d W 9 0 O 1 N 0 x L p w Z W M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d c S + a 2 E y L 0 F 1 d G 9 S Z W 1 v d m V k Q 2 9 s d W 1 u c z E u e 1 N 0 x L p w Z W M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n X E v m t h M i 9 B d X R v U m V t b 3 Z l Z E N v b H V t b n M x L n t T d M S 6 c G V j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d S V D N C V C R W t h M i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U l Q z Q l Q k V r Y T I v W m 1 l b m V u J U M z J U J E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/ R N o x 0 N r t E r p N R r t d J I + s A A A A A A g A A A A A A A 2 Y A A M A A A A A Q A A A A 2 f r v S c S x p r n F D 1 8 h N 2 8 W I g A A A A A E g A A A o A A A A B A A A A D L U y R v o M V 2 V f 8 9 R G M F s f T H U A A A A I U E R t 8 F D K J M o 8 Z L x v 8 c A b E q k 2 7 s S 4 O e T 9 d n 0 X q Q 2 b 5 C E R O l h B O J W z x p y H V E S k d I 1 V a d 7 O U W O U 3 c o J V Z C t K c i S X u d 7 4 R l y e k d D + F u d 8 t V 7 7 5 F A A A A D r 7 F M / 9 M W R g P v S U L 5 X G s G t n h 0 5 e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0306c2e-2ed6-4f7c-8e8d-dc84666b0b98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F7F4D5-EF5E-4869-8B3A-6DEACE9816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306c2e-2ed6-4f7c-8e8d-dc84666b0b98"/>
    <ds:schemaRef ds:uri="9754410a-62e8-4354-a353-ce3b86e7de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52BF65-A6E2-435C-A0A5-250A20A5D18E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3368C611-18D2-4075-A9AF-F4B30066A4EE}">
  <ds:schemaRefs>
    <ds:schemaRef ds:uri="9754410a-62e8-4354-a353-ce3b86e7de89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a0306c2e-2ed6-4f7c-8e8d-dc84666b0b98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103F045-D092-4AD4-989D-12B7CB1FDD8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a0c4d74-2ddf-4a3f-9c85-3b2ab35ffe4a}" enabled="1" method="Standard" siteId="{95735dfb-83cb-4be7-9b78-61e3b2310d4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2</vt:i4>
      </vt:variant>
    </vt:vector>
  </HeadingPairs>
  <TitlesOfParts>
    <vt:vector size="10" baseType="lpstr">
      <vt:lpstr>PDS-PPS-OKTE</vt:lpstr>
      <vt:lpstr>Nátok z PRDS</vt:lpstr>
      <vt:lpstr>Distribúcia KS v PMDS</vt:lpstr>
      <vt:lpstr>ZSD</vt:lpstr>
      <vt:lpstr>SSD</vt:lpstr>
      <vt:lpstr>VSD</vt:lpstr>
      <vt:lpstr>Okresy</vt:lpstr>
      <vt:lpstr>Output</vt:lpstr>
      <vt:lpstr>'Distribúcia KS v PMDS'!Názvy_tlače</vt:lpstr>
      <vt:lpstr>'Nátok z PRDS'!Názvy_tlače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2024-03-13T10:07:33Z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0x010100FA164DE7DC3DCB418B518C9F80E743FE</vt:lpwstr>
  </property>
</Properties>
</file>