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41BD5DF-6D37-4BBC-BD17-F4967F71ACD0}" xr6:coauthVersionLast="47" xr6:coauthVersionMax="47" xr10:uidLastSave="{00000000-0000-0000-0000-000000000000}"/>
  <workbookProtection workbookAlgorithmName="SHA-512" workbookHashValue="w5NoiHDyGAQQHsFGgpn2jWcUBZBM9cwnICsmmQsmDQ8Q4I3HJ/ebth/8FKzNYnuBIsJzxaEi9wo1J6htXl67Ew==" workbookSaltValue="kPS+Dcdlm+by5CcTO0g/DQ==" workbookSpinCount="100000" lockStructure="1"/>
  <bookViews>
    <workbookView xWindow="22932" yWindow="-108" windowWidth="23256" windowHeight="12456" firstSheet="1" activeTab="1" xr2:uid="{00000000-000D-0000-FFFF-FFFF00000000}"/>
  </bookViews>
  <sheets>
    <sheet name="PDS-PPS-OKTE" sheetId="1" state="hidden" r:id="rId1"/>
    <sheet name="Návod" sheetId="17" r:id="rId2"/>
    <sheet name="Údaje o žiadateľovi" sheetId="19" r:id="rId3"/>
    <sheet name="Výsledok RZ 2024 Tarify " sheetId="16" r:id="rId4"/>
    <sheet name="Nátok z PRDS" sheetId="10" r:id="rId5"/>
    <sheet name="Distribúcia KS v PMDS" sheetId="12" r:id="rId6"/>
    <sheet name="ZSD" sheetId="13" state="hidden" r:id="rId7"/>
    <sheet name="SSD" sheetId="15" state="hidden" r:id="rId8"/>
    <sheet name="VSD" sheetId="14" state="hidden" r:id="rId9"/>
    <sheet name="Okresy" sheetId="4" state="hidden" r:id="rId10"/>
    <sheet name="Output" sheetId="5" state="hidden" r:id="rId11"/>
  </sheets>
  <definedNames>
    <definedName name="_xlnm._FilterDatabase" localSheetId="5" hidden="1">'Distribúcia KS v PMDS'!$A$4:$K$229</definedName>
    <definedName name="_xlnm._FilterDatabase" localSheetId="4" hidden="1">'Nátok z PRDS'!$K$1:$K$241</definedName>
    <definedName name="_xlnm._FilterDatabase" localSheetId="7" hidden="1">SSD!$A$4:$L$225</definedName>
    <definedName name="_xlnm._FilterDatabase" localSheetId="8" hidden="1">VSD!$A$4:$L$225</definedName>
    <definedName name="_xlnm._FilterDatabase" localSheetId="6" hidden="1">ZSD!$A$4:$M$225</definedName>
    <definedName name="_xlnm.Print_Titles" localSheetId="5">'Distribúcia KS v PMDS'!$1:$4</definedName>
    <definedName name="_xlnm.Print_Titles" localSheetId="4">'Nátok z PRDS'!$1:$4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6" l="1"/>
  <c r="B8" i="16"/>
  <c r="B9" i="16"/>
  <c r="B10" i="16"/>
  <c r="B11" i="16"/>
  <c r="B12" i="16"/>
  <c r="B13" i="16"/>
  <c r="B14" i="16"/>
  <c r="B15" i="16"/>
  <c r="B16" i="16"/>
  <c r="B17" i="16"/>
  <c r="B6" i="16"/>
  <c r="B21" i="16"/>
  <c r="C21" i="16"/>
  <c r="C18" i="16" l="1"/>
  <c r="C24" i="16" s="1"/>
  <c r="B18" i="16"/>
  <c r="B24" i="16" l="1"/>
  <c r="B83" i="19"/>
  <c r="B26" i="16" l="1"/>
  <c r="F214" i="10" l="1"/>
  <c r="G214" i="10"/>
  <c r="F8" i="12" l="1"/>
  <c r="G8" i="12"/>
  <c r="F13" i="12"/>
  <c r="G13" i="12"/>
  <c r="F17" i="12"/>
  <c r="G17" i="12"/>
  <c r="F20" i="12"/>
  <c r="G20" i="12"/>
  <c r="F25" i="12"/>
  <c r="G25" i="12"/>
  <c r="F28" i="12"/>
  <c r="G28" i="12"/>
  <c r="F32" i="12"/>
  <c r="G32" i="12"/>
  <c r="F35" i="12"/>
  <c r="G35" i="12"/>
  <c r="F39" i="12"/>
  <c r="G39" i="12"/>
  <c r="F42" i="12"/>
  <c r="G42" i="12"/>
  <c r="F46" i="12"/>
  <c r="G46" i="12"/>
  <c r="F49" i="12"/>
  <c r="G49" i="12"/>
  <c r="F53" i="12"/>
  <c r="G53" i="12"/>
  <c r="F56" i="12"/>
  <c r="G56" i="12"/>
  <c r="F60" i="12"/>
  <c r="G60" i="12"/>
  <c r="F63" i="12"/>
  <c r="G63" i="12"/>
  <c r="F67" i="12"/>
  <c r="G67" i="12"/>
  <c r="F70" i="12"/>
  <c r="G70" i="12"/>
  <c r="F73" i="12"/>
  <c r="G73" i="12"/>
  <c r="F76" i="12"/>
  <c r="G76" i="12"/>
  <c r="F83" i="12"/>
  <c r="G83" i="12"/>
  <c r="F88" i="12"/>
  <c r="G88" i="12"/>
  <c r="F93" i="12"/>
  <c r="G93" i="12"/>
  <c r="F98" i="12"/>
  <c r="G98" i="12"/>
  <c r="F101" i="12"/>
  <c r="G101" i="12"/>
  <c r="F106" i="12"/>
  <c r="G106" i="12"/>
  <c r="F109" i="12"/>
  <c r="G109" i="12"/>
  <c r="F114" i="12"/>
  <c r="G114" i="12"/>
  <c r="F117" i="12"/>
  <c r="G117" i="12"/>
  <c r="F122" i="12"/>
  <c r="G122" i="12"/>
  <c r="F125" i="12"/>
  <c r="G125" i="12"/>
  <c r="F130" i="12"/>
  <c r="G130" i="12"/>
  <c r="F133" i="12"/>
  <c r="G133" i="12"/>
  <c r="F140" i="12"/>
  <c r="G140" i="12"/>
  <c r="F146" i="12"/>
  <c r="G146" i="12"/>
  <c r="F151" i="12"/>
  <c r="G151" i="12"/>
  <c r="F154" i="12"/>
  <c r="G154" i="12"/>
  <c r="F159" i="12"/>
  <c r="G159" i="12"/>
  <c r="F162" i="12"/>
  <c r="G162" i="12"/>
  <c r="F165" i="12"/>
  <c r="G165" i="12"/>
  <c r="F168" i="12"/>
  <c r="G168" i="12"/>
  <c r="F183" i="12"/>
  <c r="G183" i="12"/>
  <c r="F186" i="12"/>
  <c r="G186" i="12"/>
  <c r="F189" i="12"/>
  <c r="G189" i="12"/>
  <c r="F193" i="12"/>
  <c r="G193" i="12"/>
  <c r="F197" i="12"/>
  <c r="G197" i="12"/>
  <c r="F200" i="12"/>
  <c r="G200" i="12"/>
  <c r="F214" i="12"/>
  <c r="G214" i="12"/>
  <c r="F217" i="12"/>
  <c r="G217" i="12"/>
  <c r="F220" i="12"/>
  <c r="G220" i="12"/>
  <c r="F8" i="10"/>
  <c r="G8" i="10"/>
  <c r="F13" i="10"/>
  <c r="G13" i="10"/>
  <c r="F17" i="10"/>
  <c r="G17" i="10"/>
  <c r="F20" i="10"/>
  <c r="G20" i="10"/>
  <c r="F25" i="10"/>
  <c r="G25" i="10"/>
  <c r="F28" i="10"/>
  <c r="G28" i="10"/>
  <c r="F32" i="10"/>
  <c r="G32" i="10"/>
  <c r="F35" i="10"/>
  <c r="G35" i="10"/>
  <c r="F39" i="10"/>
  <c r="G39" i="10"/>
  <c r="F42" i="10"/>
  <c r="G42" i="10"/>
  <c r="F46" i="10"/>
  <c r="G46" i="10"/>
  <c r="F49" i="10"/>
  <c r="G49" i="10"/>
  <c r="F53" i="10"/>
  <c r="G53" i="10"/>
  <c r="F56" i="10"/>
  <c r="G56" i="10"/>
  <c r="F60" i="10"/>
  <c r="G60" i="10"/>
  <c r="F63" i="10"/>
  <c r="G63" i="10"/>
  <c r="F67" i="10"/>
  <c r="G67" i="10"/>
  <c r="F70" i="10"/>
  <c r="G70" i="10"/>
  <c r="F73" i="10"/>
  <c r="G73" i="10"/>
  <c r="F76" i="10"/>
  <c r="G76" i="10"/>
  <c r="F83" i="10"/>
  <c r="G83" i="10"/>
  <c r="F88" i="10"/>
  <c r="G88" i="10"/>
  <c r="F93" i="10"/>
  <c r="G93" i="10"/>
  <c r="F98" i="10"/>
  <c r="G98" i="10"/>
  <c r="F101" i="10"/>
  <c r="G101" i="10"/>
  <c r="F106" i="10"/>
  <c r="G106" i="10"/>
  <c r="F109" i="10"/>
  <c r="G109" i="10"/>
  <c r="F114" i="10"/>
  <c r="G114" i="10"/>
  <c r="F117" i="10"/>
  <c r="G117" i="10"/>
  <c r="F122" i="10"/>
  <c r="G122" i="10"/>
  <c r="F125" i="10"/>
  <c r="G125" i="10"/>
  <c r="F130" i="10"/>
  <c r="G130" i="10"/>
  <c r="F133" i="10"/>
  <c r="G133" i="10"/>
  <c r="F140" i="10"/>
  <c r="G140" i="10"/>
  <c r="F146" i="10"/>
  <c r="G146" i="10"/>
  <c r="F151" i="10"/>
  <c r="G151" i="10"/>
  <c r="F154" i="10"/>
  <c r="G154" i="10"/>
  <c r="F159" i="10"/>
  <c r="G159" i="10"/>
  <c r="F162" i="10"/>
  <c r="G162" i="10"/>
  <c r="F165" i="10"/>
  <c r="G165" i="10"/>
  <c r="F168" i="10"/>
  <c r="G168" i="10"/>
  <c r="O169" i="10"/>
  <c r="E170" i="10" s="1"/>
  <c r="O221" i="10"/>
  <c r="E222" i="10" s="1"/>
  <c r="O201" i="10"/>
  <c r="O77" i="10"/>
  <c r="E78" i="10" s="1"/>
  <c r="O228" i="10" l="1"/>
  <c r="N228" i="10"/>
  <c r="H228" i="10" s="1"/>
  <c r="L227" i="10" s="1"/>
  <c r="E202" i="10"/>
  <c r="G220" i="10" l="1"/>
  <c r="F220" i="10"/>
  <c r="G217" i="10"/>
  <c r="F217" i="10"/>
  <c r="G200" i="10"/>
  <c r="F200" i="10"/>
  <c r="G197" i="10"/>
  <c r="F197" i="10"/>
  <c r="G193" i="10"/>
  <c r="F193" i="10"/>
  <c r="G189" i="10"/>
  <c r="F189" i="10"/>
  <c r="G186" i="10"/>
  <c r="F186" i="10"/>
  <c r="G183" i="10"/>
  <c r="F183" i="10"/>
  <c r="P229" i="12" l="1"/>
  <c r="N221" i="12"/>
  <c r="E222" i="12" s="1"/>
  <c r="N202" i="12"/>
  <c r="E202" i="12" s="1"/>
  <c r="O169" i="12"/>
  <c r="E170" i="12" s="1"/>
  <c r="M78" i="12"/>
  <c r="E78" i="12" s="1"/>
  <c r="H228" i="12" l="1"/>
  <c r="M6" i="13" l="1"/>
  <c r="M7" i="13"/>
  <c r="M11" i="13"/>
  <c r="M12" i="13"/>
  <c r="M15" i="13"/>
  <c r="M16" i="13"/>
  <c r="M18" i="13"/>
  <c r="M19" i="13"/>
  <c r="M23" i="13"/>
  <c r="M24" i="13"/>
  <c r="M26" i="13"/>
  <c r="M27" i="13"/>
  <c r="M30" i="13"/>
  <c r="M31" i="13"/>
  <c r="M33" i="13"/>
  <c r="M34" i="13"/>
  <c r="M37" i="13"/>
  <c r="M38" i="13"/>
  <c r="M40" i="13"/>
  <c r="M41" i="13"/>
  <c r="M44" i="13"/>
  <c r="M45" i="13"/>
  <c r="M47" i="13"/>
  <c r="M48" i="13"/>
  <c r="M51" i="13"/>
  <c r="M52" i="13"/>
  <c r="M54" i="13"/>
  <c r="M55" i="13"/>
  <c r="M58" i="13"/>
  <c r="M59" i="13"/>
  <c r="M61" i="13"/>
  <c r="M62" i="13"/>
  <c r="M65" i="13"/>
  <c r="M66" i="13"/>
  <c r="M68" i="13"/>
  <c r="M69" i="13"/>
  <c r="M71" i="13"/>
  <c r="M72" i="13"/>
  <c r="M74" i="13"/>
  <c r="M75" i="13"/>
  <c r="M77" i="13"/>
  <c r="M78" i="13"/>
  <c r="M81" i="13"/>
  <c r="M82" i="13"/>
  <c r="M86" i="13"/>
  <c r="M87" i="13"/>
  <c r="M91" i="13"/>
  <c r="M92" i="13"/>
  <c r="M96" i="13"/>
  <c r="M97" i="13"/>
  <c r="M99" i="13"/>
  <c r="M100" i="13"/>
  <c r="M104" i="13"/>
  <c r="M105" i="13"/>
  <c r="M107" i="13"/>
  <c r="M108" i="13"/>
  <c r="M112" i="13"/>
  <c r="M113" i="13"/>
  <c r="M115" i="13"/>
  <c r="M116" i="13"/>
  <c r="M120" i="13"/>
  <c r="M121" i="13"/>
  <c r="M123" i="13"/>
  <c r="M124" i="13"/>
  <c r="M128" i="13"/>
  <c r="M129" i="13"/>
  <c r="M131" i="13"/>
  <c r="M132" i="13"/>
  <c r="M138" i="13"/>
  <c r="M139" i="13"/>
  <c r="M144" i="13"/>
  <c r="M145" i="13"/>
  <c r="M149" i="13"/>
  <c r="M150" i="13"/>
  <c r="M152" i="13"/>
  <c r="M153" i="13"/>
  <c r="M157" i="13"/>
  <c r="M158" i="13"/>
  <c r="M160" i="13"/>
  <c r="M161" i="13"/>
  <c r="M163" i="13"/>
  <c r="M164" i="13"/>
  <c r="M166" i="13"/>
  <c r="M167" i="13"/>
  <c r="M169" i="13"/>
  <c r="M170" i="13"/>
  <c r="M181" i="13"/>
  <c r="M182" i="13"/>
  <c r="M184" i="13"/>
  <c r="M185" i="13"/>
  <c r="M187" i="13"/>
  <c r="M188" i="13"/>
  <c r="M191" i="13"/>
  <c r="M192" i="13"/>
  <c r="M195" i="13"/>
  <c r="M196" i="13"/>
  <c r="M198" i="13"/>
  <c r="M199" i="13"/>
  <c r="M201" i="13"/>
  <c r="M202" i="13"/>
  <c r="M212" i="13"/>
  <c r="M213" i="13"/>
  <c r="M215" i="13"/>
  <c r="M216" i="13"/>
  <c r="M218" i="13"/>
  <c r="M219" i="13"/>
  <c r="F8" i="14" l="1"/>
  <c r="G220" i="15" l="1"/>
  <c r="F220" i="15"/>
  <c r="G217" i="15"/>
  <c r="F217" i="15"/>
  <c r="G214" i="15"/>
  <c r="F214" i="15"/>
  <c r="G200" i="15"/>
  <c r="F200" i="15"/>
  <c r="G197" i="15"/>
  <c r="F197" i="15"/>
  <c r="G193" i="15"/>
  <c r="F193" i="15"/>
  <c r="G189" i="15"/>
  <c r="F189" i="15"/>
  <c r="G186" i="15"/>
  <c r="F186" i="15"/>
  <c r="G183" i="15"/>
  <c r="F183" i="15"/>
  <c r="G168" i="15"/>
  <c r="F168" i="15"/>
  <c r="G165" i="15"/>
  <c r="F165" i="15"/>
  <c r="G162" i="15"/>
  <c r="F162" i="15"/>
  <c r="G159" i="15"/>
  <c r="F159" i="15"/>
  <c r="G154" i="15"/>
  <c r="F154" i="15"/>
  <c r="G151" i="15"/>
  <c r="F151" i="15"/>
  <c r="G146" i="15"/>
  <c r="F146" i="15"/>
  <c r="G140" i="15"/>
  <c r="F140" i="15"/>
  <c r="G133" i="15"/>
  <c r="F133" i="15"/>
  <c r="G130" i="15"/>
  <c r="F130" i="15"/>
  <c r="G125" i="15"/>
  <c r="F125" i="15"/>
  <c r="G122" i="15"/>
  <c r="F122" i="15"/>
  <c r="G117" i="15"/>
  <c r="F117" i="15"/>
  <c r="G114" i="15"/>
  <c r="F114" i="15"/>
  <c r="G109" i="15"/>
  <c r="F109" i="15"/>
  <c r="G106" i="15"/>
  <c r="F106" i="15"/>
  <c r="G101" i="15"/>
  <c r="F101" i="15"/>
  <c r="G98" i="15"/>
  <c r="F98" i="15"/>
  <c r="G93" i="15"/>
  <c r="F93" i="15"/>
  <c r="G88" i="15"/>
  <c r="F88" i="15"/>
  <c r="G83" i="15"/>
  <c r="F83" i="15"/>
  <c r="G76" i="15"/>
  <c r="F76" i="15"/>
  <c r="G73" i="15"/>
  <c r="F73" i="15"/>
  <c r="G70" i="15"/>
  <c r="F70" i="15"/>
  <c r="G67" i="15"/>
  <c r="F67" i="15"/>
  <c r="G63" i="15"/>
  <c r="F63" i="15"/>
  <c r="G60" i="15"/>
  <c r="F60" i="15"/>
  <c r="G56" i="15"/>
  <c r="F56" i="15"/>
  <c r="G53" i="15"/>
  <c r="F53" i="15"/>
  <c r="G49" i="15"/>
  <c r="F49" i="15"/>
  <c r="G46" i="15"/>
  <c r="F46" i="15"/>
  <c r="G42" i="15"/>
  <c r="F42" i="15"/>
  <c r="G39" i="15"/>
  <c r="F39" i="15"/>
  <c r="G35" i="15"/>
  <c r="F35" i="15"/>
  <c r="G32" i="15"/>
  <c r="F32" i="15"/>
  <c r="G28" i="15"/>
  <c r="F28" i="15"/>
  <c r="G25" i="15"/>
  <c r="F25" i="15"/>
  <c r="G20" i="15"/>
  <c r="F20" i="15"/>
  <c r="G17" i="15"/>
  <c r="F17" i="15"/>
  <c r="G13" i="15"/>
  <c r="F13" i="15"/>
  <c r="G8" i="15"/>
  <c r="F8" i="15"/>
  <c r="G220" i="13" l="1"/>
  <c r="F220" i="13"/>
  <c r="G217" i="13"/>
  <c r="F217" i="13"/>
  <c r="G214" i="13"/>
  <c r="F214" i="13"/>
  <c r="G200" i="13"/>
  <c r="F200" i="13"/>
  <c r="G197" i="13"/>
  <c r="F197" i="13"/>
  <c r="G193" i="13"/>
  <c r="F193" i="13"/>
  <c r="G189" i="13"/>
  <c r="F189" i="13"/>
  <c r="G186" i="13"/>
  <c r="F186" i="13"/>
  <c r="G183" i="13"/>
  <c r="F183" i="13"/>
  <c r="G168" i="13"/>
  <c r="F168" i="13"/>
  <c r="G165" i="13"/>
  <c r="F165" i="13"/>
  <c r="G162" i="13"/>
  <c r="F162" i="13"/>
  <c r="G159" i="13"/>
  <c r="F159" i="13"/>
  <c r="G154" i="13"/>
  <c r="F154" i="13"/>
  <c r="G151" i="13"/>
  <c r="F151" i="13"/>
  <c r="G146" i="13"/>
  <c r="F146" i="13"/>
  <c r="G140" i="13"/>
  <c r="F140" i="13"/>
  <c r="G133" i="13"/>
  <c r="F133" i="13"/>
  <c r="G130" i="13"/>
  <c r="F130" i="13"/>
  <c r="G125" i="13"/>
  <c r="F125" i="13"/>
  <c r="G122" i="13"/>
  <c r="F122" i="13"/>
  <c r="G117" i="13"/>
  <c r="F117" i="13"/>
  <c r="G114" i="13"/>
  <c r="F114" i="13"/>
  <c r="G109" i="13"/>
  <c r="F109" i="13"/>
  <c r="G106" i="13"/>
  <c r="F106" i="13"/>
  <c r="G101" i="13"/>
  <c r="F101" i="13"/>
  <c r="G98" i="13"/>
  <c r="F98" i="13"/>
  <c r="G93" i="13"/>
  <c r="F93" i="13"/>
  <c r="G88" i="13"/>
  <c r="F88" i="13"/>
  <c r="G83" i="13"/>
  <c r="F83" i="13"/>
  <c r="G76" i="13"/>
  <c r="F76" i="13"/>
  <c r="G73" i="13"/>
  <c r="F73" i="13"/>
  <c r="G70" i="13"/>
  <c r="F70" i="13"/>
  <c r="G67" i="13"/>
  <c r="F67" i="13"/>
  <c r="G63" i="13"/>
  <c r="F63" i="13"/>
  <c r="G60" i="13"/>
  <c r="F60" i="13"/>
  <c r="G56" i="13"/>
  <c r="F56" i="13"/>
  <c r="G53" i="13"/>
  <c r="F53" i="13"/>
  <c r="G49" i="13"/>
  <c r="F49" i="13"/>
  <c r="G46" i="13"/>
  <c r="F46" i="13"/>
  <c r="G42" i="13"/>
  <c r="F42" i="13"/>
  <c r="G39" i="13"/>
  <c r="F39" i="13"/>
  <c r="G35" i="13"/>
  <c r="F35" i="13"/>
  <c r="G32" i="13"/>
  <c r="F32" i="13"/>
  <c r="G28" i="13"/>
  <c r="F28" i="13"/>
  <c r="G25" i="13"/>
  <c r="F25" i="13"/>
  <c r="G20" i="13"/>
  <c r="F20" i="13"/>
  <c r="G17" i="13"/>
  <c r="F17" i="13"/>
  <c r="G13" i="13"/>
  <c r="F13" i="13"/>
  <c r="G8" i="13"/>
  <c r="F8" i="13"/>
  <c r="L6" i="13" l="1"/>
  <c r="L7" i="13"/>
  <c r="L11" i="13"/>
  <c r="L12" i="13"/>
  <c r="L15" i="13"/>
  <c r="L16" i="13"/>
  <c r="L18" i="13"/>
  <c r="L19" i="13"/>
  <c r="L23" i="13"/>
  <c r="L24" i="13"/>
  <c r="L26" i="13"/>
  <c r="L27" i="13"/>
  <c r="L30" i="13"/>
  <c r="L31" i="13"/>
  <c r="L33" i="13"/>
  <c r="L34" i="13"/>
  <c r="L37" i="13"/>
  <c r="L38" i="13"/>
  <c r="L40" i="13"/>
  <c r="L41" i="13"/>
  <c r="L44" i="13"/>
  <c r="L45" i="13"/>
  <c r="L47" i="13"/>
  <c r="L48" i="13"/>
  <c r="L51" i="13"/>
  <c r="L52" i="13"/>
  <c r="L54" i="13"/>
  <c r="L55" i="13"/>
  <c r="L58" i="13"/>
  <c r="L59" i="13"/>
  <c r="L61" i="13"/>
  <c r="L62" i="13"/>
  <c r="L65" i="13"/>
  <c r="L66" i="13"/>
  <c r="L68" i="13"/>
  <c r="L69" i="13"/>
  <c r="L71" i="13"/>
  <c r="L72" i="13"/>
  <c r="L74" i="13"/>
  <c r="L75" i="13"/>
  <c r="L77" i="13"/>
  <c r="L78" i="13"/>
  <c r="L81" i="13"/>
  <c r="L82" i="13"/>
  <c r="L86" i="13"/>
  <c r="L87" i="13"/>
  <c r="L91" i="13"/>
  <c r="L92" i="13"/>
  <c r="L96" i="13"/>
  <c r="L97" i="13"/>
  <c r="L99" i="13"/>
  <c r="L100" i="13"/>
  <c r="L104" i="13"/>
  <c r="L105" i="13"/>
  <c r="L107" i="13"/>
  <c r="L108" i="13"/>
  <c r="L112" i="13"/>
  <c r="L113" i="13"/>
  <c r="L115" i="13"/>
  <c r="L116" i="13"/>
  <c r="L120" i="13"/>
  <c r="L121" i="13"/>
  <c r="L123" i="13"/>
  <c r="L124" i="13"/>
  <c r="L128" i="13"/>
  <c r="L129" i="13"/>
  <c r="L131" i="13"/>
  <c r="L132" i="13"/>
  <c r="L138" i="13"/>
  <c r="L139" i="13"/>
  <c r="L144" i="13"/>
  <c r="L145" i="13"/>
  <c r="L149" i="13"/>
  <c r="L150" i="13"/>
  <c r="L152" i="13"/>
  <c r="L153" i="13"/>
  <c r="L157" i="13"/>
  <c r="L158" i="13"/>
  <c r="L160" i="13"/>
  <c r="L161" i="13"/>
  <c r="L163" i="13"/>
  <c r="L164" i="13"/>
  <c r="L166" i="13"/>
  <c r="L167" i="13"/>
  <c r="L169" i="13"/>
  <c r="L170" i="13"/>
  <c r="L181" i="13"/>
  <c r="L182" i="13"/>
  <c r="L184" i="13"/>
  <c r="L185" i="13"/>
  <c r="L187" i="13"/>
  <c r="L188" i="13"/>
  <c r="L191" i="13"/>
  <c r="L192" i="13"/>
  <c r="L195" i="13"/>
  <c r="L196" i="13"/>
  <c r="L198" i="13"/>
  <c r="L199" i="13"/>
  <c r="L201" i="13"/>
  <c r="L202" i="13"/>
  <c r="L212" i="13"/>
  <c r="L213" i="13"/>
  <c r="L215" i="13"/>
  <c r="L216" i="13"/>
  <c r="L218" i="13"/>
  <c r="L219" i="13"/>
  <c r="L6" i="14"/>
  <c r="L7" i="14"/>
  <c r="L11" i="14"/>
  <c r="L12" i="14"/>
  <c r="L15" i="14"/>
  <c r="L16" i="14"/>
  <c r="L18" i="14"/>
  <c r="L19" i="14"/>
  <c r="L23" i="14"/>
  <c r="L24" i="14"/>
  <c r="L26" i="14"/>
  <c r="L27" i="14"/>
  <c r="L30" i="14"/>
  <c r="L31" i="14"/>
  <c r="L33" i="14"/>
  <c r="L34" i="14"/>
  <c r="L37" i="14"/>
  <c r="L38" i="14"/>
  <c r="L40" i="14"/>
  <c r="L41" i="14"/>
  <c r="L44" i="14"/>
  <c r="L45" i="14"/>
  <c r="L47" i="14"/>
  <c r="L48" i="14"/>
  <c r="L51" i="14"/>
  <c r="L52" i="14"/>
  <c r="L54" i="14"/>
  <c r="L55" i="14"/>
  <c r="L58" i="14"/>
  <c r="L59" i="14"/>
  <c r="L61" i="14"/>
  <c r="L62" i="14"/>
  <c r="L65" i="14"/>
  <c r="L66" i="14"/>
  <c r="L68" i="14"/>
  <c r="L69" i="14"/>
  <c r="L71" i="14"/>
  <c r="L72" i="14"/>
  <c r="L74" i="14"/>
  <c r="L75" i="14"/>
  <c r="L77" i="14"/>
  <c r="L78" i="14"/>
  <c r="L81" i="14"/>
  <c r="L82" i="14"/>
  <c r="L86" i="14"/>
  <c r="L87" i="14"/>
  <c r="L91" i="14"/>
  <c r="L92" i="14"/>
  <c r="L96" i="14"/>
  <c r="L97" i="14"/>
  <c r="L99" i="14"/>
  <c r="L100" i="14"/>
  <c r="L104" i="14"/>
  <c r="L105" i="14"/>
  <c r="L107" i="14"/>
  <c r="L108" i="14"/>
  <c r="L112" i="14"/>
  <c r="L113" i="14"/>
  <c r="L115" i="14"/>
  <c r="L116" i="14"/>
  <c r="L120" i="14"/>
  <c r="L121" i="14"/>
  <c r="L123" i="14"/>
  <c r="L124" i="14"/>
  <c r="L128" i="14"/>
  <c r="L129" i="14"/>
  <c r="L131" i="14"/>
  <c r="L132" i="14"/>
  <c r="L138" i="14"/>
  <c r="L139" i="14"/>
  <c r="L144" i="14"/>
  <c r="L145" i="14"/>
  <c r="L149" i="14"/>
  <c r="L150" i="14"/>
  <c r="L152" i="14"/>
  <c r="L153" i="14"/>
  <c r="L157" i="14"/>
  <c r="L158" i="14"/>
  <c r="L160" i="14"/>
  <c r="L161" i="14"/>
  <c r="L163" i="14"/>
  <c r="L164" i="14"/>
  <c r="L166" i="14"/>
  <c r="L167" i="14"/>
  <c r="L169" i="14"/>
  <c r="L170" i="14"/>
  <c r="L181" i="14"/>
  <c r="L182" i="14"/>
  <c r="L184" i="14"/>
  <c r="L185" i="14"/>
  <c r="L187" i="14"/>
  <c r="L188" i="14"/>
  <c r="L191" i="14"/>
  <c r="L192" i="14"/>
  <c r="L195" i="14"/>
  <c r="L196" i="14"/>
  <c r="L198" i="14"/>
  <c r="L199" i="14"/>
  <c r="L201" i="14"/>
  <c r="L202" i="14"/>
  <c r="L212" i="14"/>
  <c r="L213" i="14"/>
  <c r="L215" i="14"/>
  <c r="L216" i="14"/>
  <c r="L218" i="14"/>
  <c r="L219" i="14"/>
  <c r="L7" i="15"/>
  <c r="L11" i="15"/>
  <c r="L12" i="15"/>
  <c r="L15" i="15"/>
  <c r="L16" i="15"/>
  <c r="L18" i="15"/>
  <c r="L19" i="15"/>
  <c r="L23" i="15"/>
  <c r="L24" i="15"/>
  <c r="L26" i="15"/>
  <c r="L27" i="15"/>
  <c r="L30" i="15"/>
  <c r="L31" i="15"/>
  <c r="L33" i="15"/>
  <c r="L34" i="15"/>
  <c r="L37" i="15"/>
  <c r="L38" i="15"/>
  <c r="L40" i="15"/>
  <c r="L41" i="15"/>
  <c r="L44" i="15"/>
  <c r="L45" i="15"/>
  <c r="L47" i="15"/>
  <c r="L48" i="15"/>
  <c r="L51" i="15"/>
  <c r="L52" i="15"/>
  <c r="L54" i="15"/>
  <c r="L55" i="15"/>
  <c r="L58" i="15"/>
  <c r="L59" i="15"/>
  <c r="L61" i="15"/>
  <c r="L62" i="15"/>
  <c r="L65" i="15"/>
  <c r="L66" i="15"/>
  <c r="L68" i="15"/>
  <c r="L69" i="15"/>
  <c r="L71" i="15"/>
  <c r="L72" i="15"/>
  <c r="L74" i="15"/>
  <c r="L75" i="15"/>
  <c r="L77" i="15"/>
  <c r="L78" i="15"/>
  <c r="L81" i="15"/>
  <c r="L82" i="15"/>
  <c r="L86" i="15"/>
  <c r="L87" i="15"/>
  <c r="L91" i="15"/>
  <c r="L92" i="15"/>
  <c r="L96" i="15"/>
  <c r="L97" i="15"/>
  <c r="L99" i="15"/>
  <c r="L100" i="15"/>
  <c r="L104" i="15"/>
  <c r="L105" i="15"/>
  <c r="L107" i="15"/>
  <c r="L108" i="15"/>
  <c r="L112" i="15"/>
  <c r="L113" i="15"/>
  <c r="L115" i="15"/>
  <c r="L116" i="15"/>
  <c r="L120" i="15"/>
  <c r="L121" i="15"/>
  <c r="L123" i="15"/>
  <c r="L124" i="15"/>
  <c r="L128" i="15"/>
  <c r="L129" i="15"/>
  <c r="L131" i="15"/>
  <c r="L132" i="15"/>
  <c r="L138" i="15"/>
  <c r="L139" i="15"/>
  <c r="L144" i="15"/>
  <c r="L145" i="15"/>
  <c r="L149" i="15"/>
  <c r="L150" i="15"/>
  <c r="L152" i="15"/>
  <c r="L153" i="15"/>
  <c r="L157" i="15"/>
  <c r="L158" i="15"/>
  <c r="L160" i="15"/>
  <c r="L161" i="15"/>
  <c r="L163" i="15"/>
  <c r="L164" i="15"/>
  <c r="L166" i="15"/>
  <c r="L167" i="15"/>
  <c r="L169" i="15"/>
  <c r="L170" i="15"/>
  <c r="L181" i="15"/>
  <c r="L182" i="15"/>
  <c r="L184" i="15"/>
  <c r="L185" i="15"/>
  <c r="L187" i="15"/>
  <c r="L188" i="15"/>
  <c r="L191" i="15"/>
  <c r="L192" i="15"/>
  <c r="L195" i="15"/>
  <c r="L196" i="15"/>
  <c r="L198" i="15"/>
  <c r="L199" i="15"/>
  <c r="L201" i="15"/>
  <c r="L202" i="15"/>
  <c r="L212" i="15"/>
  <c r="L213" i="15"/>
  <c r="L215" i="15"/>
  <c r="L216" i="15"/>
  <c r="L218" i="15"/>
  <c r="L219" i="15"/>
  <c r="L6" i="15"/>
  <c r="E78" i="14" l="1"/>
  <c r="E81" i="14"/>
  <c r="E86" i="14"/>
  <c r="E91" i="14"/>
  <c r="E138" i="14"/>
  <c r="E144" i="14"/>
  <c r="E170" i="14"/>
  <c r="E202" i="14"/>
  <c r="E202" i="15" l="1"/>
  <c r="E170" i="15"/>
  <c r="E78" i="15"/>
  <c r="H210" i="15"/>
  <c r="I210" i="15" s="1"/>
  <c r="H208" i="15"/>
  <c r="I208" i="15" s="1"/>
  <c r="H207" i="15"/>
  <c r="I207" i="15" s="1"/>
  <c r="H206" i="15"/>
  <c r="I206" i="15" s="1"/>
  <c r="H177" i="15"/>
  <c r="I177" i="15" s="1"/>
  <c r="H176" i="15"/>
  <c r="I176" i="15" s="1"/>
  <c r="H175" i="15"/>
  <c r="I175" i="15" s="1"/>
  <c r="E222" i="14"/>
  <c r="G220" i="14"/>
  <c r="F220" i="14"/>
  <c r="G217" i="14"/>
  <c r="F217" i="14"/>
  <c r="G214" i="14"/>
  <c r="F214" i="14"/>
  <c r="H211" i="14"/>
  <c r="I211" i="14" s="1"/>
  <c r="H210" i="14"/>
  <c r="I210" i="14" s="1"/>
  <c r="H209" i="14"/>
  <c r="I209" i="14" s="1"/>
  <c r="H208" i="14"/>
  <c r="I208" i="14" s="1"/>
  <c r="H207" i="14"/>
  <c r="I207" i="14" s="1"/>
  <c r="H206" i="14"/>
  <c r="I206" i="14" s="1"/>
  <c r="H205" i="14"/>
  <c r="I205" i="14" s="1"/>
  <c r="H204" i="14"/>
  <c r="I204" i="14" s="1"/>
  <c r="H203" i="14"/>
  <c r="I203" i="14" s="1"/>
  <c r="G200" i="14"/>
  <c r="F200" i="14"/>
  <c r="G197" i="14"/>
  <c r="F197" i="14"/>
  <c r="H194" i="14"/>
  <c r="I194" i="14" s="1"/>
  <c r="G193" i="14"/>
  <c r="F193" i="14"/>
  <c r="H190" i="14"/>
  <c r="I190" i="14" s="1"/>
  <c r="G189" i="14"/>
  <c r="F189" i="14"/>
  <c r="G186" i="14"/>
  <c r="F186" i="14"/>
  <c r="G183" i="14"/>
  <c r="F183" i="14"/>
  <c r="H180" i="14"/>
  <c r="I180" i="14" s="1"/>
  <c r="H179" i="14"/>
  <c r="I179" i="14" s="1"/>
  <c r="H178" i="14"/>
  <c r="I178" i="14" s="1"/>
  <c r="H177" i="14"/>
  <c r="I177" i="14" s="1"/>
  <c r="H176" i="14"/>
  <c r="I176" i="14" s="1"/>
  <c r="H175" i="14"/>
  <c r="I175" i="14" s="1"/>
  <c r="H174" i="14"/>
  <c r="I174" i="14" s="1"/>
  <c r="H173" i="14"/>
  <c r="I173" i="14" s="1"/>
  <c r="H172" i="14"/>
  <c r="I172" i="14" s="1"/>
  <c r="H171" i="14"/>
  <c r="I171" i="14" s="1"/>
  <c r="G168" i="14"/>
  <c r="F168" i="14"/>
  <c r="G165" i="14"/>
  <c r="F165" i="14"/>
  <c r="G162" i="14"/>
  <c r="F162" i="14"/>
  <c r="G159" i="14"/>
  <c r="F159" i="14"/>
  <c r="H156" i="14"/>
  <c r="I156" i="14" s="1"/>
  <c r="H155" i="14"/>
  <c r="I155" i="14" s="1"/>
  <c r="G154" i="14"/>
  <c r="F154" i="14"/>
  <c r="G151" i="14"/>
  <c r="F151" i="14"/>
  <c r="H148" i="14"/>
  <c r="I148" i="14" s="1"/>
  <c r="H147" i="14"/>
  <c r="I147" i="14" s="1"/>
  <c r="G146" i="14"/>
  <c r="F146" i="14"/>
  <c r="H143" i="14"/>
  <c r="I143" i="14" s="1"/>
  <c r="H142" i="14"/>
  <c r="I142" i="14" s="1"/>
  <c r="H141" i="14"/>
  <c r="I141" i="14" s="1"/>
  <c r="G140" i="14"/>
  <c r="F140" i="14"/>
  <c r="H137" i="14"/>
  <c r="I137" i="14" s="1"/>
  <c r="H136" i="14"/>
  <c r="I136" i="14" s="1"/>
  <c r="H135" i="14"/>
  <c r="I135" i="14" s="1"/>
  <c r="H134" i="14"/>
  <c r="I134" i="14" s="1"/>
  <c r="G133" i="14"/>
  <c r="F133" i="14"/>
  <c r="G130" i="14"/>
  <c r="F130" i="14"/>
  <c r="H127" i="14"/>
  <c r="I127" i="14" s="1"/>
  <c r="H126" i="14"/>
  <c r="I126" i="14" s="1"/>
  <c r="G125" i="14"/>
  <c r="F125" i="14"/>
  <c r="G122" i="14"/>
  <c r="F122" i="14"/>
  <c r="H119" i="14"/>
  <c r="I119" i="14" s="1"/>
  <c r="H118" i="14"/>
  <c r="I118" i="14" s="1"/>
  <c r="G117" i="14"/>
  <c r="F117" i="14"/>
  <c r="G114" i="14"/>
  <c r="F114" i="14"/>
  <c r="H111" i="14"/>
  <c r="I111" i="14" s="1"/>
  <c r="H110" i="14"/>
  <c r="I110" i="14" s="1"/>
  <c r="G109" i="14"/>
  <c r="F109" i="14"/>
  <c r="G106" i="14"/>
  <c r="F106" i="14"/>
  <c r="H103" i="14"/>
  <c r="I103" i="14" s="1"/>
  <c r="H102" i="14"/>
  <c r="I102" i="14" s="1"/>
  <c r="G101" i="14"/>
  <c r="F101" i="14"/>
  <c r="G98" i="14"/>
  <c r="F98" i="14"/>
  <c r="H95" i="14"/>
  <c r="I95" i="14" s="1"/>
  <c r="H94" i="14"/>
  <c r="I94" i="14" s="1"/>
  <c r="G93" i="14"/>
  <c r="F93" i="14"/>
  <c r="H90" i="14"/>
  <c r="I90" i="14" s="1"/>
  <c r="H89" i="14"/>
  <c r="I89" i="14" s="1"/>
  <c r="G88" i="14"/>
  <c r="F88" i="14"/>
  <c r="H85" i="14"/>
  <c r="I85" i="14" s="1"/>
  <c r="H84" i="14"/>
  <c r="I84" i="14" s="1"/>
  <c r="G83" i="14"/>
  <c r="F83" i="14"/>
  <c r="H80" i="14"/>
  <c r="I80" i="14" s="1"/>
  <c r="H79" i="14"/>
  <c r="I79" i="14" s="1"/>
  <c r="G76" i="14"/>
  <c r="F76" i="14"/>
  <c r="G73" i="14"/>
  <c r="F73" i="14"/>
  <c r="G70" i="14"/>
  <c r="F70" i="14"/>
  <c r="G67" i="14"/>
  <c r="F67" i="14"/>
  <c r="H64" i="14"/>
  <c r="I64" i="14" s="1"/>
  <c r="G63" i="14"/>
  <c r="F63" i="14"/>
  <c r="G60" i="14"/>
  <c r="F60" i="14"/>
  <c r="H57" i="14"/>
  <c r="I57" i="14" s="1"/>
  <c r="G56" i="14"/>
  <c r="F56" i="14"/>
  <c r="G53" i="14"/>
  <c r="F53" i="14"/>
  <c r="H50" i="14"/>
  <c r="I50" i="14" s="1"/>
  <c r="G49" i="14"/>
  <c r="F49" i="14"/>
  <c r="G46" i="14"/>
  <c r="F46" i="14"/>
  <c r="H43" i="14"/>
  <c r="I43" i="14" s="1"/>
  <c r="G42" i="14"/>
  <c r="F42" i="14"/>
  <c r="G39" i="14"/>
  <c r="F39" i="14"/>
  <c r="H36" i="14"/>
  <c r="I36" i="14" s="1"/>
  <c r="G35" i="14"/>
  <c r="F35" i="14"/>
  <c r="G32" i="14"/>
  <c r="F32" i="14"/>
  <c r="H29" i="14"/>
  <c r="I29" i="14" s="1"/>
  <c r="G28" i="14"/>
  <c r="F28" i="14"/>
  <c r="G25" i="14"/>
  <c r="F25" i="14"/>
  <c r="H22" i="14"/>
  <c r="I22" i="14" s="1"/>
  <c r="H21" i="14"/>
  <c r="I21" i="14" s="1"/>
  <c r="G20" i="14"/>
  <c r="F20" i="14"/>
  <c r="G17" i="14"/>
  <c r="F17" i="14"/>
  <c r="H14" i="14"/>
  <c r="I14" i="14" s="1"/>
  <c r="G13" i="14"/>
  <c r="F13" i="14"/>
  <c r="H10" i="14"/>
  <c r="I10" i="14" s="1"/>
  <c r="H9" i="14"/>
  <c r="I9" i="14" s="1"/>
  <c r="G8" i="14"/>
  <c r="H5" i="14"/>
  <c r="I5" i="14" s="1"/>
  <c r="E222" i="15"/>
  <c r="H220" i="15"/>
  <c r="I220" i="15" s="1"/>
  <c r="H217" i="15"/>
  <c r="I217" i="15" s="1"/>
  <c r="H211" i="15"/>
  <c r="I211" i="15" s="1"/>
  <c r="H209" i="15"/>
  <c r="I209" i="15" s="1"/>
  <c r="H205" i="15"/>
  <c r="I205" i="15" s="1"/>
  <c r="H204" i="15"/>
  <c r="I204" i="15" s="1"/>
  <c r="H203" i="15"/>
  <c r="I203" i="15" s="1"/>
  <c r="H200" i="15"/>
  <c r="I200" i="15" s="1"/>
  <c r="H197" i="15"/>
  <c r="I197" i="15" s="1"/>
  <c r="H194" i="15"/>
  <c r="I194" i="15" s="1"/>
  <c r="H193" i="15"/>
  <c r="I193" i="15" s="1"/>
  <c r="H190" i="15"/>
  <c r="I190" i="15" s="1"/>
  <c r="H186" i="15"/>
  <c r="I186" i="15" s="1"/>
  <c r="H180" i="15"/>
  <c r="I180" i="15" s="1"/>
  <c r="H179" i="15"/>
  <c r="I179" i="15" s="1"/>
  <c r="H178" i="15"/>
  <c r="I178" i="15" s="1"/>
  <c r="H174" i="15"/>
  <c r="I174" i="15" s="1"/>
  <c r="H173" i="15"/>
  <c r="I173" i="15" s="1"/>
  <c r="H172" i="15"/>
  <c r="I172" i="15" s="1"/>
  <c r="H171" i="15"/>
  <c r="I171" i="15" s="1"/>
  <c r="H168" i="15"/>
  <c r="I168" i="15" s="1"/>
  <c r="H165" i="15"/>
  <c r="I165" i="15" s="1"/>
  <c r="H162" i="15"/>
  <c r="I162" i="15" s="1"/>
  <c r="H159" i="15"/>
  <c r="I159" i="15" s="1"/>
  <c r="H156" i="15"/>
  <c r="I156" i="15" s="1"/>
  <c r="H155" i="15"/>
  <c r="I155" i="15" s="1"/>
  <c r="H154" i="15"/>
  <c r="I154" i="15" s="1"/>
  <c r="H151" i="15"/>
  <c r="I151" i="15" s="1"/>
  <c r="H148" i="15"/>
  <c r="I148" i="15" s="1"/>
  <c r="H147" i="15"/>
  <c r="I147" i="15" s="1"/>
  <c r="H146" i="15"/>
  <c r="I146" i="15" s="1"/>
  <c r="H143" i="15"/>
  <c r="I143" i="15" s="1"/>
  <c r="H142" i="15"/>
  <c r="I142" i="15" s="1"/>
  <c r="H141" i="15"/>
  <c r="I141" i="15" s="1"/>
  <c r="H140" i="15"/>
  <c r="I140" i="15" s="1"/>
  <c r="H137" i="15"/>
  <c r="I137" i="15" s="1"/>
  <c r="H136" i="15"/>
  <c r="I136" i="15" s="1"/>
  <c r="H135" i="15"/>
  <c r="I135" i="15" s="1"/>
  <c r="H134" i="15"/>
  <c r="I134" i="15" s="1"/>
  <c r="H133" i="15"/>
  <c r="I133" i="15" s="1"/>
  <c r="H130" i="15"/>
  <c r="I130" i="15" s="1"/>
  <c r="H127" i="15"/>
  <c r="I127" i="15" s="1"/>
  <c r="H126" i="15"/>
  <c r="I126" i="15" s="1"/>
  <c r="H125" i="15"/>
  <c r="I125" i="15" s="1"/>
  <c r="H122" i="15"/>
  <c r="I122" i="15" s="1"/>
  <c r="H119" i="15"/>
  <c r="I119" i="15" s="1"/>
  <c r="H118" i="15"/>
  <c r="I118" i="15" s="1"/>
  <c r="H117" i="15"/>
  <c r="I117" i="15" s="1"/>
  <c r="H114" i="15"/>
  <c r="I114" i="15" s="1"/>
  <c r="H111" i="15"/>
  <c r="I111" i="15" s="1"/>
  <c r="H110" i="15"/>
  <c r="I110" i="15" s="1"/>
  <c r="H109" i="15"/>
  <c r="I109" i="15" s="1"/>
  <c r="H103" i="15"/>
  <c r="I103" i="15" s="1"/>
  <c r="H102" i="15"/>
  <c r="I102" i="15" s="1"/>
  <c r="H101" i="15"/>
  <c r="I101" i="15" s="1"/>
  <c r="H98" i="15"/>
  <c r="I98" i="15" s="1"/>
  <c r="H95" i="15"/>
  <c r="I95" i="15" s="1"/>
  <c r="H94" i="15"/>
  <c r="I94" i="15" s="1"/>
  <c r="H93" i="15"/>
  <c r="I93" i="15" s="1"/>
  <c r="H90" i="15"/>
  <c r="I90" i="15" s="1"/>
  <c r="H89" i="15"/>
  <c r="I89" i="15" s="1"/>
  <c r="H85" i="15"/>
  <c r="I85" i="15" s="1"/>
  <c r="H84" i="15"/>
  <c r="I84" i="15" s="1"/>
  <c r="H80" i="15"/>
  <c r="I80" i="15" s="1"/>
  <c r="H79" i="15"/>
  <c r="I79" i="15" s="1"/>
  <c r="H76" i="15"/>
  <c r="I76" i="15" s="1"/>
  <c r="H73" i="15"/>
  <c r="I73" i="15" s="1"/>
  <c r="H70" i="15"/>
  <c r="I70" i="15" s="1"/>
  <c r="H67" i="15"/>
  <c r="I67" i="15" s="1"/>
  <c r="H64" i="15"/>
  <c r="I64" i="15" s="1"/>
  <c r="H63" i="15"/>
  <c r="I63" i="15" s="1"/>
  <c r="H60" i="15"/>
  <c r="I60" i="15" s="1"/>
  <c r="H57" i="15"/>
  <c r="I57" i="15" s="1"/>
  <c r="H50" i="15"/>
  <c r="I50" i="15" s="1"/>
  <c r="H46" i="15"/>
  <c r="I46" i="15" s="1"/>
  <c r="H43" i="15"/>
  <c r="I43" i="15" s="1"/>
  <c r="H39" i="15"/>
  <c r="I39" i="15" s="1"/>
  <c r="H36" i="15"/>
  <c r="I36" i="15" s="1"/>
  <c r="H35" i="15"/>
  <c r="I35" i="15" s="1"/>
  <c r="H32" i="15"/>
  <c r="I32" i="15" s="1"/>
  <c r="H29" i="15"/>
  <c r="I29" i="15" s="1"/>
  <c r="H25" i="15"/>
  <c r="I25" i="15" s="1"/>
  <c r="H22" i="15"/>
  <c r="I22" i="15" s="1"/>
  <c r="H21" i="15"/>
  <c r="I21" i="15" s="1"/>
  <c r="H17" i="15"/>
  <c r="I17" i="15" s="1"/>
  <c r="H14" i="15"/>
  <c r="I14" i="15" s="1"/>
  <c r="H13" i="15"/>
  <c r="I13" i="15" s="1"/>
  <c r="H10" i="15"/>
  <c r="I10" i="15" s="1"/>
  <c r="H9" i="15"/>
  <c r="I9" i="15" s="1"/>
  <c r="H5" i="15"/>
  <c r="I5" i="15" s="1"/>
  <c r="E222" i="13"/>
  <c r="H220" i="13"/>
  <c r="I220" i="13" s="1"/>
  <c r="H214" i="13"/>
  <c r="I214" i="13" s="1"/>
  <c r="H211" i="13"/>
  <c r="I211" i="13" s="1"/>
  <c r="H210" i="13"/>
  <c r="I210" i="13" s="1"/>
  <c r="H209" i="13"/>
  <c r="I209" i="13" s="1"/>
  <c r="H208" i="13"/>
  <c r="I208" i="13" s="1"/>
  <c r="H207" i="13"/>
  <c r="I207" i="13" s="1"/>
  <c r="H206" i="13"/>
  <c r="I206" i="13" s="1"/>
  <c r="H205" i="13"/>
  <c r="I205" i="13" s="1"/>
  <c r="H204" i="13"/>
  <c r="I204" i="13" s="1"/>
  <c r="H203" i="13"/>
  <c r="I203" i="13" s="1"/>
  <c r="E202" i="13"/>
  <c r="H197" i="13"/>
  <c r="H194" i="13"/>
  <c r="H193" i="13"/>
  <c r="I193" i="13" s="1"/>
  <c r="H190" i="13"/>
  <c r="I190" i="13" s="1"/>
  <c r="H189" i="13"/>
  <c r="I189" i="13" s="1"/>
  <c r="H186" i="13"/>
  <c r="I186" i="13" s="1"/>
  <c r="H183" i="13"/>
  <c r="I183" i="13" s="1"/>
  <c r="H180" i="13"/>
  <c r="I180" i="13" s="1"/>
  <c r="H179" i="13"/>
  <c r="I179" i="13" s="1"/>
  <c r="H178" i="13"/>
  <c r="I178" i="13" s="1"/>
  <c r="H177" i="13"/>
  <c r="I177" i="13" s="1"/>
  <c r="H176" i="13"/>
  <c r="I176" i="13" s="1"/>
  <c r="H175" i="13"/>
  <c r="I175" i="13" s="1"/>
  <c r="H174" i="13"/>
  <c r="I174" i="13" s="1"/>
  <c r="H173" i="13"/>
  <c r="I173" i="13" s="1"/>
  <c r="H172" i="13"/>
  <c r="I172" i="13" s="1"/>
  <c r="H171" i="13"/>
  <c r="I171" i="13" s="1"/>
  <c r="H168" i="13"/>
  <c r="H165" i="13"/>
  <c r="H162" i="13"/>
  <c r="H159" i="13"/>
  <c r="H156" i="13"/>
  <c r="H155" i="13"/>
  <c r="H154" i="13"/>
  <c r="H151" i="13"/>
  <c r="H148" i="13"/>
  <c r="H147" i="13"/>
  <c r="H146" i="13"/>
  <c r="E144" i="13"/>
  <c r="H143" i="13"/>
  <c r="H142" i="13"/>
  <c r="H141" i="13"/>
  <c r="H140" i="13"/>
  <c r="E138" i="13"/>
  <c r="H137" i="13"/>
  <c r="H136" i="13"/>
  <c r="H135" i="13"/>
  <c r="I135" i="13" s="1"/>
  <c r="H134" i="13"/>
  <c r="I134" i="13" s="1"/>
  <c r="H133" i="13"/>
  <c r="H130" i="13"/>
  <c r="H127" i="13"/>
  <c r="H126" i="13"/>
  <c r="H125" i="13"/>
  <c r="H122" i="13"/>
  <c r="H119" i="13"/>
  <c r="H118" i="13"/>
  <c r="H117" i="13"/>
  <c r="H114" i="13"/>
  <c r="H111" i="13"/>
  <c r="H110" i="13"/>
  <c r="H109" i="13"/>
  <c r="H106" i="13"/>
  <c r="H103" i="13"/>
  <c r="H102" i="13"/>
  <c r="H101" i="13"/>
  <c r="H98" i="13"/>
  <c r="H95" i="13"/>
  <c r="H94" i="13"/>
  <c r="H93" i="13"/>
  <c r="E91" i="13"/>
  <c r="H90" i="13"/>
  <c r="H89" i="13"/>
  <c r="H88" i="13"/>
  <c r="E86" i="13"/>
  <c r="H85" i="13"/>
  <c r="I85" i="13" s="1"/>
  <c r="H84" i="13"/>
  <c r="I84" i="13" s="1"/>
  <c r="H83" i="13"/>
  <c r="E81" i="13"/>
  <c r="H80" i="13"/>
  <c r="H79" i="13"/>
  <c r="E78" i="13"/>
  <c r="H76" i="13"/>
  <c r="H73" i="13"/>
  <c r="H70" i="13"/>
  <c r="H67" i="13"/>
  <c r="H64" i="13"/>
  <c r="H63" i="13"/>
  <c r="H60" i="13"/>
  <c r="H57" i="13"/>
  <c r="H56" i="13"/>
  <c r="H53" i="13"/>
  <c r="H50" i="13"/>
  <c r="H49" i="13"/>
  <c r="H46" i="13"/>
  <c r="H43" i="13"/>
  <c r="H42" i="13"/>
  <c r="H39" i="13"/>
  <c r="H36" i="13"/>
  <c r="H35" i="13"/>
  <c r="H32" i="13"/>
  <c r="I32" i="13" s="1"/>
  <c r="H29" i="13"/>
  <c r="I29" i="13" s="1"/>
  <c r="H28" i="13"/>
  <c r="H22" i="13"/>
  <c r="I22" i="13" s="1"/>
  <c r="H21" i="13"/>
  <c r="I21" i="13" s="1"/>
  <c r="H20" i="13"/>
  <c r="H14" i="13"/>
  <c r="I14" i="13" s="1"/>
  <c r="H13" i="13"/>
  <c r="I13" i="13" s="1"/>
  <c r="H10" i="13"/>
  <c r="I10" i="13" s="1"/>
  <c r="H9" i="13"/>
  <c r="I9" i="13" s="1"/>
  <c r="H8" i="13"/>
  <c r="I8" i="13" s="1"/>
  <c r="H5" i="13"/>
  <c r="I5" i="13" s="1"/>
  <c r="I57" i="13" l="1"/>
  <c r="I156" i="13"/>
  <c r="I80" i="13"/>
  <c r="I119" i="13"/>
  <c r="I28" i="13"/>
  <c r="I136" i="13"/>
  <c r="I49" i="13"/>
  <c r="I67" i="13"/>
  <c r="I83" i="13"/>
  <c r="I93" i="13"/>
  <c r="I109" i="13"/>
  <c r="I125" i="13"/>
  <c r="I137" i="13"/>
  <c r="I147" i="13"/>
  <c r="I165" i="13"/>
  <c r="I20" i="13"/>
  <c r="I42" i="13"/>
  <c r="I89" i="13"/>
  <c r="I143" i="13"/>
  <c r="I63" i="13"/>
  <c r="I103" i="13"/>
  <c r="I159" i="13"/>
  <c r="I46" i="13"/>
  <c r="I50" i="13"/>
  <c r="I70" i="13"/>
  <c r="I94" i="13"/>
  <c r="I110" i="13"/>
  <c r="I126" i="13"/>
  <c r="I148" i="13"/>
  <c r="I168" i="13"/>
  <c r="I194" i="13"/>
  <c r="I39" i="13"/>
  <c r="I101" i="13"/>
  <c r="I79" i="13"/>
  <c r="I118" i="13"/>
  <c r="I90" i="13"/>
  <c r="I64" i="13"/>
  <c r="I122" i="13"/>
  <c r="I162" i="13"/>
  <c r="I35" i="13"/>
  <c r="I53" i="13"/>
  <c r="I73" i="13"/>
  <c r="I95" i="13"/>
  <c r="I111" i="13"/>
  <c r="I127" i="13"/>
  <c r="I140" i="13"/>
  <c r="I151" i="13"/>
  <c r="I197" i="13"/>
  <c r="I60" i="13"/>
  <c r="I102" i="13"/>
  <c r="I43" i="13"/>
  <c r="I106" i="13"/>
  <c r="I36" i="13"/>
  <c r="I56" i="13"/>
  <c r="I76" i="13"/>
  <c r="I98" i="13"/>
  <c r="I114" i="13"/>
  <c r="I130" i="13"/>
  <c r="I141" i="13"/>
  <c r="I154" i="13"/>
  <c r="I117" i="13"/>
  <c r="I133" i="13"/>
  <c r="I142" i="13"/>
  <c r="I155" i="13"/>
  <c r="I146" i="13"/>
  <c r="I88" i="13"/>
  <c r="E170" i="13"/>
  <c r="H217" i="13"/>
  <c r="I217" i="13" s="1"/>
  <c r="I222" i="13" s="1"/>
  <c r="I221" i="13"/>
  <c r="H200" i="13"/>
  <c r="I200" i="13" s="1"/>
  <c r="H25" i="13"/>
  <c r="I25" i="13" s="1"/>
  <c r="H17" i="13"/>
  <c r="I17" i="13" s="1"/>
  <c r="H122" i="14"/>
  <c r="I122" i="14" s="1"/>
  <c r="H162" i="14"/>
  <c r="I162" i="14" s="1"/>
  <c r="H53" i="14"/>
  <c r="I53" i="14" s="1"/>
  <c r="H114" i="14"/>
  <c r="I114" i="14" s="1"/>
  <c r="H217" i="14"/>
  <c r="I217" i="14" s="1"/>
  <c r="H35" i="14"/>
  <c r="I35" i="14" s="1"/>
  <c r="H88" i="14"/>
  <c r="I88" i="14" s="1"/>
  <c r="H106" i="14"/>
  <c r="I106" i="14" s="1"/>
  <c r="H154" i="14"/>
  <c r="I154" i="14" s="1"/>
  <c r="H165" i="14"/>
  <c r="I165" i="14" s="1"/>
  <c r="H56" i="14"/>
  <c r="I56" i="14" s="1"/>
  <c r="H98" i="14"/>
  <c r="I98" i="14" s="1"/>
  <c r="H189" i="14"/>
  <c r="I189" i="14" s="1"/>
  <c r="H200" i="14"/>
  <c r="I200" i="14" s="1"/>
  <c r="H46" i="14"/>
  <c r="I46" i="14" s="1"/>
  <c r="H67" i="14"/>
  <c r="I67" i="14" s="1"/>
  <c r="H39" i="14"/>
  <c r="I39" i="14" s="1"/>
  <c r="H49" i="14"/>
  <c r="I49" i="14" s="1"/>
  <c r="H93" i="14"/>
  <c r="I93" i="14" s="1"/>
  <c r="H130" i="14"/>
  <c r="I130" i="14" s="1"/>
  <c r="H159" i="14"/>
  <c r="I159" i="14" s="1"/>
  <c r="H214" i="14"/>
  <c r="I214" i="14" s="1"/>
  <c r="H20" i="14"/>
  <c r="I20" i="14" s="1"/>
  <c r="H140" i="14"/>
  <c r="I140" i="14" s="1"/>
  <c r="H193" i="14"/>
  <c r="I193" i="14" s="1"/>
  <c r="H8" i="15"/>
  <c r="I8" i="15" s="1"/>
  <c r="H42" i="14"/>
  <c r="I42" i="14" s="1"/>
  <c r="H60" i="14"/>
  <c r="I60" i="14" s="1"/>
  <c r="H70" i="14"/>
  <c r="I70" i="14" s="1"/>
  <c r="H83" i="14"/>
  <c r="I83" i="14" s="1"/>
  <c r="H133" i="14"/>
  <c r="I133" i="14" s="1"/>
  <c r="H197" i="14"/>
  <c r="I197" i="14" s="1"/>
  <c r="H101" i="14"/>
  <c r="I101" i="14" s="1"/>
  <c r="H109" i="14"/>
  <c r="I109" i="14" s="1"/>
  <c r="H117" i="14"/>
  <c r="I117" i="14" s="1"/>
  <c r="H125" i="14"/>
  <c r="I125" i="14" s="1"/>
  <c r="H168" i="14"/>
  <c r="I168" i="14" s="1"/>
  <c r="H220" i="14"/>
  <c r="I220" i="14" s="1"/>
  <c r="H63" i="14"/>
  <c r="I63" i="14" s="1"/>
  <c r="H73" i="14"/>
  <c r="I73" i="14" s="1"/>
  <c r="H76" i="14"/>
  <c r="I76" i="14" s="1"/>
  <c r="H151" i="14"/>
  <c r="I151" i="14" s="1"/>
  <c r="H28" i="14"/>
  <c r="I28" i="14" s="1"/>
  <c r="H189" i="15"/>
  <c r="I189" i="15" s="1"/>
  <c r="H214" i="15"/>
  <c r="I214" i="15" s="1"/>
  <c r="I222" i="15" s="1"/>
  <c r="I221" i="15"/>
  <c r="H183" i="15"/>
  <c r="I183" i="15" s="1"/>
  <c r="H106" i="15"/>
  <c r="I106" i="15" s="1"/>
  <c r="H88" i="15"/>
  <c r="I88" i="15" s="1"/>
  <c r="H83" i="15"/>
  <c r="I83" i="15" s="1"/>
  <c r="H56" i="15"/>
  <c r="I56" i="15" s="1"/>
  <c r="H53" i="15"/>
  <c r="I53" i="15" s="1"/>
  <c r="H49" i="15"/>
  <c r="I49" i="15" s="1"/>
  <c r="H42" i="15"/>
  <c r="I42" i="15" s="1"/>
  <c r="H28" i="15"/>
  <c r="I28" i="15" s="1"/>
  <c r="H20" i="15"/>
  <c r="I20" i="15" s="1"/>
  <c r="H186" i="14"/>
  <c r="I186" i="14" s="1"/>
  <c r="H183" i="14"/>
  <c r="I183" i="14" s="1"/>
  <c r="H146" i="14"/>
  <c r="I146" i="14" s="1"/>
  <c r="H32" i="14"/>
  <c r="I32" i="14" s="1"/>
  <c r="H25" i="14"/>
  <c r="I25" i="14" s="1"/>
  <c r="H17" i="14"/>
  <c r="I17" i="14" s="1"/>
  <c r="H13" i="14"/>
  <c r="I13" i="14" s="1"/>
  <c r="I77" i="14"/>
  <c r="H8" i="14"/>
  <c r="I8" i="14" s="1"/>
  <c r="I201" i="14"/>
  <c r="I169" i="14"/>
  <c r="I221" i="14"/>
  <c r="I169" i="15"/>
  <c r="I201" i="15"/>
  <c r="I77" i="15"/>
  <c r="I201" i="13"/>
  <c r="I170" i="13" l="1"/>
  <c r="I169" i="13"/>
  <c r="I77" i="13"/>
  <c r="I202" i="13"/>
  <c r="I222" i="14"/>
  <c r="I78" i="13"/>
  <c r="I170" i="14"/>
  <c r="I202" i="15"/>
  <c r="I170" i="15"/>
  <c r="I78" i="15"/>
  <c r="I202" i="14"/>
  <c r="I78" i="14"/>
  <c r="I223" i="13" l="1"/>
  <c r="I225" i="13" s="1"/>
  <c r="I224" i="13" s="1"/>
  <c r="I223" i="14"/>
  <c r="I225" i="14" s="1"/>
  <c r="I224" i="14" s="1"/>
  <c r="I223" i="15"/>
  <c r="I225" i="15" s="1"/>
  <c r="I224" i="15" s="1"/>
  <c r="H217" i="12" l="1"/>
  <c r="H211" i="12"/>
  <c r="H210" i="12"/>
  <c r="H209" i="12"/>
  <c r="H208" i="12"/>
  <c r="H207" i="12"/>
  <c r="H206" i="12"/>
  <c r="H205" i="12"/>
  <c r="H204" i="12"/>
  <c r="H203" i="12"/>
  <c r="H200" i="12"/>
  <c r="H197" i="12"/>
  <c r="H194" i="12"/>
  <c r="H190" i="12"/>
  <c r="H189" i="12"/>
  <c r="H186" i="12"/>
  <c r="H183" i="12"/>
  <c r="H180" i="12"/>
  <c r="H179" i="12"/>
  <c r="H178" i="12"/>
  <c r="H177" i="12"/>
  <c r="H176" i="12"/>
  <c r="H175" i="12"/>
  <c r="H174" i="12"/>
  <c r="H173" i="12"/>
  <c r="H172" i="12"/>
  <c r="H171" i="12"/>
  <c r="H168" i="12"/>
  <c r="H165" i="12"/>
  <c r="H156" i="12"/>
  <c r="H155" i="12"/>
  <c r="H148" i="12"/>
  <c r="H147" i="12"/>
  <c r="H143" i="12"/>
  <c r="H142" i="12"/>
  <c r="H141" i="12"/>
  <c r="H137" i="12"/>
  <c r="H136" i="12"/>
  <c r="H135" i="12"/>
  <c r="H134" i="12"/>
  <c r="H133" i="12"/>
  <c r="H130" i="12"/>
  <c r="H127" i="12"/>
  <c r="H126" i="12"/>
  <c r="H119" i="12"/>
  <c r="H118" i="12"/>
  <c r="H117" i="12"/>
  <c r="H111" i="12"/>
  <c r="H110" i="12"/>
  <c r="H103" i="12"/>
  <c r="H102" i="12"/>
  <c r="H101" i="12"/>
  <c r="H95" i="12"/>
  <c r="H94" i="12"/>
  <c r="H90" i="12"/>
  <c r="H89" i="12"/>
  <c r="H85" i="12"/>
  <c r="H84" i="12"/>
  <c r="H83" i="12"/>
  <c r="H80" i="12"/>
  <c r="H79" i="12"/>
  <c r="H73" i="12"/>
  <c r="H67" i="12"/>
  <c r="H64" i="12"/>
  <c r="H57" i="12"/>
  <c r="H50" i="12"/>
  <c r="H49" i="12"/>
  <c r="H43" i="12"/>
  <c r="H39" i="12"/>
  <c r="H36" i="12"/>
  <c r="H29" i="12"/>
  <c r="H22" i="12"/>
  <c r="H21" i="12"/>
  <c r="H14" i="12"/>
  <c r="H10" i="12"/>
  <c r="H9" i="12"/>
  <c r="H8" i="12"/>
  <c r="H5" i="12"/>
  <c r="I79" i="12" l="1"/>
  <c r="M79" i="13"/>
  <c r="I95" i="12"/>
  <c r="M95" i="13"/>
  <c r="I119" i="12"/>
  <c r="M119" i="13"/>
  <c r="I137" i="12"/>
  <c r="M137" i="13"/>
  <c r="I165" i="12"/>
  <c r="M165" i="13"/>
  <c r="I194" i="12"/>
  <c r="M194" i="13"/>
  <c r="I90" i="12"/>
  <c r="M90" i="13"/>
  <c r="I73" i="12"/>
  <c r="M73" i="13"/>
  <c r="I136" i="12"/>
  <c r="M136" i="13"/>
  <c r="I43" i="12"/>
  <c r="M43" i="13"/>
  <c r="I168" i="12"/>
  <c r="M168" i="13"/>
  <c r="I49" i="12"/>
  <c r="M49" i="13"/>
  <c r="I142" i="12"/>
  <c r="M142" i="13"/>
  <c r="I67" i="12"/>
  <c r="M67" i="13"/>
  <c r="I155" i="12"/>
  <c r="M155" i="13"/>
  <c r="I94" i="12"/>
  <c r="M94" i="13"/>
  <c r="I126" i="12"/>
  <c r="M126" i="13"/>
  <c r="I197" i="12"/>
  <c r="M197" i="13"/>
  <c r="I83" i="12"/>
  <c r="M83" i="13"/>
  <c r="I102" i="12"/>
  <c r="M102" i="13"/>
  <c r="I50" i="12"/>
  <c r="M50" i="13"/>
  <c r="I103" i="12"/>
  <c r="M103" i="13"/>
  <c r="I130" i="12"/>
  <c r="M130" i="13"/>
  <c r="I143" i="12"/>
  <c r="M143" i="13"/>
  <c r="I117" i="12"/>
  <c r="M117" i="13"/>
  <c r="I36" i="12"/>
  <c r="M36" i="13"/>
  <c r="I118" i="12"/>
  <c r="M118" i="13"/>
  <c r="I80" i="12"/>
  <c r="M80" i="13"/>
  <c r="I141" i="12"/>
  <c r="M141" i="13"/>
  <c r="I110" i="12"/>
  <c r="M110" i="13"/>
  <c r="I147" i="12"/>
  <c r="M147" i="13"/>
  <c r="I156" i="12"/>
  <c r="M156" i="13"/>
  <c r="I39" i="12"/>
  <c r="M39" i="13"/>
  <c r="I101" i="12"/>
  <c r="M101" i="13"/>
  <c r="I127" i="12"/>
  <c r="M127" i="13"/>
  <c r="I57" i="12"/>
  <c r="M57" i="13"/>
  <c r="I133" i="12"/>
  <c r="M133" i="13"/>
  <c r="I64" i="12"/>
  <c r="M64" i="13"/>
  <c r="I89" i="12"/>
  <c r="M89" i="13"/>
  <c r="I111" i="12"/>
  <c r="M111" i="13"/>
  <c r="I148" i="12"/>
  <c r="M148" i="13"/>
  <c r="I217" i="12"/>
  <c r="M217" i="13"/>
  <c r="I204" i="12"/>
  <c r="M204" i="13"/>
  <c r="I209" i="12"/>
  <c r="M209" i="13"/>
  <c r="I208" i="12"/>
  <c r="M208" i="13"/>
  <c r="I206" i="12"/>
  <c r="M206" i="13"/>
  <c r="I203" i="12"/>
  <c r="M203" i="13"/>
  <c r="I207" i="12"/>
  <c r="M207" i="13"/>
  <c r="I210" i="12"/>
  <c r="M210" i="13"/>
  <c r="I205" i="12"/>
  <c r="M205" i="13"/>
  <c r="I211" i="12"/>
  <c r="M211" i="13"/>
  <c r="I200" i="12"/>
  <c r="M200" i="13"/>
  <c r="I190" i="12"/>
  <c r="M190" i="13"/>
  <c r="I189" i="12"/>
  <c r="M189" i="13"/>
  <c r="I186" i="12"/>
  <c r="M186" i="13"/>
  <c r="I176" i="12"/>
  <c r="M176" i="13"/>
  <c r="I179" i="12"/>
  <c r="M179" i="13"/>
  <c r="I177" i="12"/>
  <c r="M177" i="13"/>
  <c r="I171" i="12"/>
  <c r="M171" i="13"/>
  <c r="I175" i="12"/>
  <c r="M175" i="13"/>
  <c r="I180" i="12"/>
  <c r="M180" i="13"/>
  <c r="I173" i="12"/>
  <c r="M173" i="13"/>
  <c r="I178" i="12"/>
  <c r="M178" i="13"/>
  <c r="I183" i="12"/>
  <c r="M183" i="13"/>
  <c r="I172" i="12"/>
  <c r="M172" i="13"/>
  <c r="I174" i="12"/>
  <c r="M174" i="13"/>
  <c r="I134" i="12"/>
  <c r="M134" i="13"/>
  <c r="I135" i="12"/>
  <c r="M135" i="13"/>
  <c r="I84" i="12"/>
  <c r="M84" i="13"/>
  <c r="I85" i="12"/>
  <c r="M85" i="13"/>
  <c r="I29" i="12"/>
  <c r="M29" i="13"/>
  <c r="I21" i="12"/>
  <c r="M21" i="13"/>
  <c r="I22" i="12"/>
  <c r="M22" i="13"/>
  <c r="I14" i="12"/>
  <c r="M14" i="13"/>
  <c r="I9" i="12"/>
  <c r="M9" i="13"/>
  <c r="I10" i="12"/>
  <c r="M10" i="13"/>
  <c r="I8" i="12"/>
  <c r="M8" i="13"/>
  <c r="I5" i="12"/>
  <c r="M5" i="13"/>
  <c r="H114" i="12"/>
  <c r="H53" i="12"/>
  <c r="H146" i="12"/>
  <c r="H17" i="12"/>
  <c r="H25" i="12"/>
  <c r="H88" i="12"/>
  <c r="H159" i="12"/>
  <c r="H46" i="12"/>
  <c r="H98" i="12"/>
  <c r="H162" i="12"/>
  <c r="H220" i="12"/>
  <c r="H214" i="12"/>
  <c r="H13" i="12"/>
  <c r="H32" i="12"/>
  <c r="H42" i="12"/>
  <c r="H63" i="12"/>
  <c r="H106" i="12"/>
  <c r="H125" i="12"/>
  <c r="H140" i="12"/>
  <c r="H35" i="12"/>
  <c r="H56" i="12"/>
  <c r="H76" i="12"/>
  <c r="H109" i="12"/>
  <c r="H193" i="12"/>
  <c r="H28" i="12"/>
  <c r="H93" i="12"/>
  <c r="H151" i="12"/>
  <c r="H20" i="12"/>
  <c r="H60" i="12"/>
  <c r="H70" i="12"/>
  <c r="H122" i="12"/>
  <c r="H154" i="12"/>
  <c r="N169" i="12" l="1"/>
  <c r="N77" i="12"/>
  <c r="O221" i="12"/>
  <c r="O201" i="12"/>
  <c r="I93" i="12"/>
  <c r="M93" i="13"/>
  <c r="I28" i="12"/>
  <c r="M28" i="13"/>
  <c r="I154" i="12"/>
  <c r="M154" i="13"/>
  <c r="I106" i="12"/>
  <c r="M106" i="13"/>
  <c r="I98" i="12"/>
  <c r="M98" i="13"/>
  <c r="I53" i="12"/>
  <c r="M53" i="13"/>
  <c r="I42" i="12"/>
  <c r="M42" i="13"/>
  <c r="I46" i="12"/>
  <c r="M46" i="13"/>
  <c r="I162" i="12"/>
  <c r="M162" i="13"/>
  <c r="I70" i="12"/>
  <c r="M70" i="13"/>
  <c r="I76" i="12"/>
  <c r="M76" i="13"/>
  <c r="I159" i="12"/>
  <c r="M159" i="13"/>
  <c r="I140" i="12"/>
  <c r="M140" i="13"/>
  <c r="I122" i="12"/>
  <c r="M122" i="13"/>
  <c r="I63" i="12"/>
  <c r="M63" i="13"/>
  <c r="I114" i="12"/>
  <c r="M114" i="13"/>
  <c r="I109" i="12"/>
  <c r="M109" i="13"/>
  <c r="I60" i="12"/>
  <c r="M60" i="13"/>
  <c r="I20" i="12"/>
  <c r="M20" i="13"/>
  <c r="I56" i="12"/>
  <c r="M56" i="13"/>
  <c r="I125" i="12"/>
  <c r="M125" i="13"/>
  <c r="I151" i="12"/>
  <c r="M151" i="13"/>
  <c r="I35" i="12"/>
  <c r="M35" i="13"/>
  <c r="I220" i="12"/>
  <c r="M220" i="13"/>
  <c r="I214" i="12"/>
  <c r="M214" i="13"/>
  <c r="I193" i="12"/>
  <c r="O202" i="12" s="1"/>
  <c r="I202" i="12" s="1"/>
  <c r="M193" i="13"/>
  <c r="I146" i="12"/>
  <c r="M146" i="13"/>
  <c r="I88" i="12"/>
  <c r="M88" i="13"/>
  <c r="I32" i="12"/>
  <c r="M32" i="13"/>
  <c r="I25" i="12"/>
  <c r="M25" i="13"/>
  <c r="I17" i="12"/>
  <c r="M17" i="13"/>
  <c r="I13" i="12"/>
  <c r="M13" i="13"/>
  <c r="P201" i="12" l="1"/>
  <c r="Q201" i="12" s="1"/>
  <c r="I169" i="12"/>
  <c r="N170" i="12"/>
  <c r="I170" i="12" s="1"/>
  <c r="I201" i="12"/>
  <c r="P202" i="12"/>
  <c r="N201" i="12"/>
  <c r="N78" i="12"/>
  <c r="I78" i="12" s="1"/>
  <c r="I77" i="12"/>
  <c r="I221" i="12"/>
  <c r="O222" i="12"/>
  <c r="H143" i="10"/>
  <c r="H142" i="10"/>
  <c r="H141" i="10"/>
  <c r="O223" i="12" l="1"/>
  <c r="P221" i="12"/>
  <c r="Q202" i="12"/>
  <c r="R201" i="12" s="1"/>
  <c r="S201" i="12" s="1"/>
  <c r="P169" i="12"/>
  <c r="O170" i="12" s="1"/>
  <c r="O77" i="12"/>
  <c r="J201" i="12"/>
  <c r="M77" i="12"/>
  <c r="P222" i="12"/>
  <c r="I222" i="12"/>
  <c r="J229" i="12" s="1"/>
  <c r="I141" i="10"/>
  <c r="L141" i="13"/>
  <c r="L141" i="14"/>
  <c r="L141" i="15"/>
  <c r="I142" i="10"/>
  <c r="L142" i="13"/>
  <c r="L142" i="14"/>
  <c r="L142" i="15"/>
  <c r="I143" i="10"/>
  <c r="L143" i="13"/>
  <c r="L143" i="14"/>
  <c r="L143" i="15"/>
  <c r="H194" i="10"/>
  <c r="H190" i="10"/>
  <c r="O224" i="12" l="1"/>
  <c r="Q221" i="12"/>
  <c r="R222" i="12" s="1"/>
  <c r="P223" i="12"/>
  <c r="Q170" i="12"/>
  <c r="R170" i="12" s="1"/>
  <c r="J169" i="12"/>
  <c r="P170" i="12"/>
  <c r="M81" i="12"/>
  <c r="J77" i="12"/>
  <c r="P78" i="12"/>
  <c r="J221" i="12"/>
  <c r="M224" i="12"/>
  <c r="I190" i="10"/>
  <c r="L190" i="13"/>
  <c r="L190" i="14"/>
  <c r="L190" i="15"/>
  <c r="I194" i="10"/>
  <c r="L194" i="13"/>
  <c r="L194" i="14"/>
  <c r="L194" i="15"/>
  <c r="H193" i="10"/>
  <c r="H197" i="10"/>
  <c r="Q222" i="12" l="1"/>
  <c r="Q223" i="12" s="1"/>
  <c r="O78" i="12"/>
  <c r="Q78" i="12" s="1"/>
  <c r="I223" i="12"/>
  <c r="I225" i="12" s="1"/>
  <c r="I224" i="12" s="1"/>
  <c r="S222" i="12"/>
  <c r="I197" i="10"/>
  <c r="L197" i="13"/>
  <c r="L197" i="14"/>
  <c r="L197" i="15"/>
  <c r="I193" i="10"/>
  <c r="L193" i="15"/>
  <c r="L193" i="14"/>
  <c r="L193" i="13"/>
  <c r="H5" i="10"/>
  <c r="H156" i="10"/>
  <c r="H148" i="10"/>
  <c r="H147" i="10"/>
  <c r="H155" i="10"/>
  <c r="H137" i="10"/>
  <c r="H127" i="10"/>
  <c r="H119" i="10"/>
  <c r="H111" i="10"/>
  <c r="H103" i="10"/>
  <c r="H95" i="10"/>
  <c r="H90" i="10"/>
  <c r="H85" i="10"/>
  <c r="H80" i="10"/>
  <c r="H57" i="10"/>
  <c r="H50" i="10"/>
  <c r="I85" i="10" l="1"/>
  <c r="L85" i="13"/>
  <c r="L85" i="14"/>
  <c r="L85" i="15"/>
  <c r="I80" i="10"/>
  <c r="L80" i="15"/>
  <c r="L80" i="13"/>
  <c r="L80" i="14"/>
  <c r="I90" i="10"/>
  <c r="L90" i="13"/>
  <c r="L90" i="14"/>
  <c r="L90" i="15"/>
  <c r="I147" i="10"/>
  <c r="L147" i="13"/>
  <c r="L147" i="14"/>
  <c r="L147" i="15"/>
  <c r="I155" i="10"/>
  <c r="L155" i="13"/>
  <c r="L155" i="14"/>
  <c r="L155" i="15"/>
  <c r="I50" i="10"/>
  <c r="L50" i="13"/>
  <c r="L50" i="14"/>
  <c r="L50" i="15"/>
  <c r="I57" i="10"/>
  <c r="L57" i="15"/>
  <c r="L57" i="13"/>
  <c r="L57" i="14"/>
  <c r="I137" i="10"/>
  <c r="L137" i="13"/>
  <c r="L137" i="14"/>
  <c r="L137" i="15"/>
  <c r="I95" i="10"/>
  <c r="L95" i="15"/>
  <c r="L95" i="13"/>
  <c r="L95" i="14"/>
  <c r="I148" i="10"/>
  <c r="L148" i="15"/>
  <c r="L148" i="13"/>
  <c r="L148" i="14"/>
  <c r="I103" i="10"/>
  <c r="L103" i="15"/>
  <c r="L103" i="13"/>
  <c r="L103" i="14"/>
  <c r="I156" i="10"/>
  <c r="L156" i="13"/>
  <c r="L156" i="15"/>
  <c r="L156" i="14"/>
  <c r="I119" i="10"/>
  <c r="L119" i="15"/>
  <c r="L119" i="13"/>
  <c r="L119" i="14"/>
  <c r="I127" i="10"/>
  <c r="L127" i="13"/>
  <c r="L127" i="14"/>
  <c r="L127" i="15"/>
  <c r="I111" i="10"/>
  <c r="L111" i="14"/>
  <c r="L111" i="15"/>
  <c r="L111" i="13"/>
  <c r="I5" i="10"/>
  <c r="L5" i="13"/>
  <c r="L5" i="14"/>
  <c r="L5" i="15"/>
  <c r="H168" i="10"/>
  <c r="H165" i="10"/>
  <c r="H70" i="10"/>
  <c r="H53" i="10"/>
  <c r="H151" i="10"/>
  <c r="H154" i="10"/>
  <c r="H73" i="10"/>
  <c r="H159" i="10"/>
  <c r="H162" i="10"/>
  <c r="H63" i="10"/>
  <c r="H60" i="10"/>
  <c r="H67" i="10"/>
  <c r="H56" i="10"/>
  <c r="I67" i="10" l="1"/>
  <c r="L67" i="13"/>
  <c r="L67" i="14"/>
  <c r="L67" i="15"/>
  <c r="I70" i="10"/>
  <c r="L70" i="13"/>
  <c r="L70" i="14"/>
  <c r="L70" i="15"/>
  <c r="I165" i="10"/>
  <c r="L165" i="13"/>
  <c r="L165" i="14"/>
  <c r="L165" i="15"/>
  <c r="I162" i="10"/>
  <c r="L162" i="13"/>
  <c r="L162" i="14"/>
  <c r="L162" i="15"/>
  <c r="I159" i="10"/>
  <c r="L159" i="15"/>
  <c r="L159" i="13"/>
  <c r="L159" i="14"/>
  <c r="I154" i="10"/>
  <c r="L154" i="13"/>
  <c r="L154" i="14"/>
  <c r="L154" i="15"/>
  <c r="I53" i="10"/>
  <c r="L53" i="13"/>
  <c r="L53" i="14"/>
  <c r="L53" i="15"/>
  <c r="I60" i="10"/>
  <c r="L60" i="13"/>
  <c r="L60" i="14"/>
  <c r="L60" i="15"/>
  <c r="I63" i="10"/>
  <c r="L63" i="15"/>
  <c r="L63" i="13"/>
  <c r="L63" i="14"/>
  <c r="I168" i="10"/>
  <c r="L168" i="15"/>
  <c r="L168" i="13"/>
  <c r="L168" i="14"/>
  <c r="I73" i="10"/>
  <c r="L73" i="13"/>
  <c r="L73" i="14"/>
  <c r="L73" i="15"/>
  <c r="I56" i="10"/>
  <c r="L56" i="13"/>
  <c r="L56" i="14"/>
  <c r="L56" i="15"/>
  <c r="I151" i="10"/>
  <c r="L151" i="13"/>
  <c r="L151" i="14"/>
  <c r="L151" i="15"/>
  <c r="H174" i="10"/>
  <c r="H136" i="10"/>
  <c r="H135" i="10"/>
  <c r="H134" i="10"/>
  <c r="H126" i="10"/>
  <c r="H118" i="10"/>
  <c r="H110" i="10"/>
  <c r="H102" i="10"/>
  <c r="H94" i="10"/>
  <c r="H89" i="10"/>
  <c r="H79" i="10"/>
  <c r="H64" i="10"/>
  <c r="H43" i="10"/>
  <c r="H36" i="10"/>
  <c r="H22" i="10"/>
  <c r="H10" i="10"/>
  <c r="H211" i="10"/>
  <c r="H210" i="10"/>
  <c r="H209" i="10"/>
  <c r="H208" i="10"/>
  <c r="H207" i="10"/>
  <c r="H206" i="10"/>
  <c r="H205" i="10"/>
  <c r="H204" i="10"/>
  <c r="H203" i="10"/>
  <c r="H180" i="10"/>
  <c r="H179" i="10"/>
  <c r="H178" i="10"/>
  <c r="H177" i="10"/>
  <c r="H176" i="10"/>
  <c r="H175" i="10"/>
  <c r="H173" i="10"/>
  <c r="H172" i="10"/>
  <c r="H171" i="10"/>
  <c r="H84" i="10"/>
  <c r="H29" i="10"/>
  <c r="H21" i="10"/>
  <c r="H14" i="10"/>
  <c r="H9" i="10"/>
  <c r="I126" i="10" l="1"/>
  <c r="L126" i="13"/>
  <c r="L126" i="14"/>
  <c r="L126" i="15"/>
  <c r="I171" i="10"/>
  <c r="L171" i="13"/>
  <c r="L171" i="14"/>
  <c r="L171" i="15"/>
  <c r="I9" i="10"/>
  <c r="L9" i="13"/>
  <c r="L9" i="14"/>
  <c r="L9" i="15"/>
  <c r="I89" i="10"/>
  <c r="L89" i="15"/>
  <c r="L89" i="13"/>
  <c r="L89" i="14"/>
  <c r="I14" i="10"/>
  <c r="L14" i="15"/>
  <c r="L14" i="13"/>
  <c r="L14" i="14"/>
  <c r="I175" i="10"/>
  <c r="L175" i="14"/>
  <c r="L175" i="13"/>
  <c r="L175" i="15"/>
  <c r="I205" i="10"/>
  <c r="L205" i="13"/>
  <c r="L205" i="15"/>
  <c r="I22" i="10"/>
  <c r="L22" i="13"/>
  <c r="L22" i="14"/>
  <c r="L22" i="15"/>
  <c r="I94" i="10"/>
  <c r="L94" i="15"/>
  <c r="L94" i="13"/>
  <c r="L94" i="14"/>
  <c r="I179" i="10"/>
  <c r="L179" i="13"/>
  <c r="L179" i="14"/>
  <c r="L179" i="15"/>
  <c r="I134" i="10"/>
  <c r="L134" i="13"/>
  <c r="L134" i="14"/>
  <c r="L134" i="15"/>
  <c r="I203" i="10"/>
  <c r="L203" i="13"/>
  <c r="L203" i="15"/>
  <c r="I204" i="10"/>
  <c r="L204" i="13"/>
  <c r="L204" i="15"/>
  <c r="I29" i="10"/>
  <c r="L29" i="13"/>
  <c r="L29" i="14"/>
  <c r="L29" i="15"/>
  <c r="I206" i="10"/>
  <c r="L206" i="13"/>
  <c r="L206" i="14"/>
  <c r="L206" i="15"/>
  <c r="I174" i="10"/>
  <c r="L174" i="13"/>
  <c r="L174" i="14"/>
  <c r="L174" i="15"/>
  <c r="I209" i="10"/>
  <c r="L209" i="15"/>
  <c r="L209" i="13"/>
  <c r="L209" i="14"/>
  <c r="I180" i="10"/>
  <c r="L180" i="13"/>
  <c r="L180" i="14"/>
  <c r="L180" i="15"/>
  <c r="I172" i="10"/>
  <c r="L172" i="14"/>
  <c r="L172" i="15"/>
  <c r="L172" i="13"/>
  <c r="I135" i="10"/>
  <c r="L135" i="15"/>
  <c r="L135" i="14"/>
  <c r="L135" i="13"/>
  <c r="I10" i="10"/>
  <c r="L10" i="13"/>
  <c r="L10" i="14"/>
  <c r="L10" i="15"/>
  <c r="I36" i="10"/>
  <c r="L36" i="13"/>
  <c r="L36" i="14"/>
  <c r="L36" i="15"/>
  <c r="I207" i="10"/>
  <c r="L207" i="15"/>
  <c r="L207" i="13"/>
  <c r="L207" i="14"/>
  <c r="I43" i="10"/>
  <c r="L43" i="13"/>
  <c r="L43" i="14"/>
  <c r="L43" i="15"/>
  <c r="I110" i="10"/>
  <c r="L110" i="13"/>
  <c r="L110" i="14"/>
  <c r="L110" i="15"/>
  <c r="I79" i="10"/>
  <c r="L79" i="13"/>
  <c r="L79" i="14"/>
  <c r="L79" i="15"/>
  <c r="I210" i="10"/>
  <c r="L210" i="13"/>
  <c r="L210" i="14"/>
  <c r="L210" i="15"/>
  <c r="I211" i="10"/>
  <c r="L211" i="13"/>
  <c r="L211" i="14"/>
  <c r="L211" i="15"/>
  <c r="I173" i="10"/>
  <c r="L173" i="13"/>
  <c r="L173" i="14"/>
  <c r="L173" i="15"/>
  <c r="I136" i="10"/>
  <c r="L136" i="13"/>
  <c r="L136" i="15"/>
  <c r="L136" i="14"/>
  <c r="I21" i="10"/>
  <c r="L21" i="13"/>
  <c r="L21" i="14"/>
  <c r="L21" i="15"/>
  <c r="I176" i="10"/>
  <c r="L176" i="13"/>
  <c r="L176" i="14"/>
  <c r="L176" i="15"/>
  <c r="I102" i="10"/>
  <c r="L102" i="15"/>
  <c r="L102" i="13"/>
  <c r="L102" i="14"/>
  <c r="I84" i="10"/>
  <c r="L84" i="13"/>
  <c r="L84" i="14"/>
  <c r="L84" i="15"/>
  <c r="I177" i="10"/>
  <c r="L177" i="13"/>
  <c r="L177" i="14"/>
  <c r="L177" i="15"/>
  <c r="I178" i="10"/>
  <c r="L178" i="13"/>
  <c r="L178" i="14"/>
  <c r="L178" i="15"/>
  <c r="I208" i="10"/>
  <c r="L208" i="15"/>
  <c r="L208" i="13"/>
  <c r="L208" i="14"/>
  <c r="I64" i="10"/>
  <c r="L64" i="14"/>
  <c r="L64" i="15"/>
  <c r="L64" i="13"/>
  <c r="I118" i="10"/>
  <c r="L118" i="13"/>
  <c r="L118" i="14"/>
  <c r="L118" i="15"/>
  <c r="H146" i="10"/>
  <c r="H140" i="10"/>
  <c r="H122" i="10"/>
  <c r="H114" i="10"/>
  <c r="H125" i="10"/>
  <c r="H130" i="10"/>
  <c r="H133" i="10"/>
  <c r="H117" i="10"/>
  <c r="H106" i="10"/>
  <c r="H109" i="10"/>
  <c r="H98" i="10"/>
  <c r="H101" i="10"/>
  <c r="H93" i="10"/>
  <c r="H83" i="10"/>
  <c r="H76" i="10"/>
  <c r="H49" i="10"/>
  <c r="H42" i="10"/>
  <c r="H46" i="10"/>
  <c r="H39" i="10"/>
  <c r="H189" i="10"/>
  <c r="H217" i="10"/>
  <c r="H88" i="10"/>
  <c r="H220" i="10"/>
  <c r="H20" i="10"/>
  <c r="H35" i="10"/>
  <c r="H17" i="10"/>
  <c r="H28" i="10"/>
  <c r="H183" i="10"/>
  <c r="H13" i="10"/>
  <c r="H186" i="10"/>
  <c r="H8" i="10"/>
  <c r="H25" i="10"/>
  <c r="H200" i="10"/>
  <c r="H214" i="10"/>
  <c r="H32" i="10"/>
  <c r="N221" i="10" l="1"/>
  <c r="N169" i="10"/>
  <c r="N77" i="10"/>
  <c r="N201" i="10"/>
  <c r="I133" i="10"/>
  <c r="L133" i="13"/>
  <c r="L133" i="14"/>
  <c r="L133" i="15"/>
  <c r="I217" i="10"/>
  <c r="L217" i="13"/>
  <c r="L217" i="14"/>
  <c r="L217" i="15"/>
  <c r="I125" i="10"/>
  <c r="L125" i="13"/>
  <c r="L125" i="14"/>
  <c r="L125" i="15"/>
  <c r="I183" i="10"/>
  <c r="L183" i="15"/>
  <c r="L183" i="13"/>
  <c r="L183" i="14"/>
  <c r="I220" i="10"/>
  <c r="L220" i="13"/>
  <c r="L220" i="15"/>
  <c r="L220" i="14"/>
  <c r="I189" i="10"/>
  <c r="L189" i="13"/>
  <c r="L189" i="14"/>
  <c r="L189" i="15"/>
  <c r="I101" i="10"/>
  <c r="L101" i="13"/>
  <c r="L101" i="14"/>
  <c r="L101" i="15"/>
  <c r="I114" i="10"/>
  <c r="L114" i="13"/>
  <c r="L114" i="14"/>
  <c r="L114" i="15"/>
  <c r="I32" i="10"/>
  <c r="L32" i="14"/>
  <c r="L32" i="13"/>
  <c r="L32" i="15"/>
  <c r="I28" i="10"/>
  <c r="L28" i="13"/>
  <c r="L28" i="14"/>
  <c r="L28" i="15"/>
  <c r="I39" i="10"/>
  <c r="L39" i="15"/>
  <c r="L39" i="13"/>
  <c r="L39" i="14"/>
  <c r="I98" i="10"/>
  <c r="L98" i="13"/>
  <c r="L98" i="14"/>
  <c r="L98" i="15"/>
  <c r="I122" i="10"/>
  <c r="L122" i="13"/>
  <c r="L122" i="14"/>
  <c r="L122" i="15"/>
  <c r="I8" i="10"/>
  <c r="L8" i="15"/>
  <c r="L8" i="13"/>
  <c r="L8" i="14"/>
  <c r="I186" i="10"/>
  <c r="L186" i="13"/>
  <c r="L186" i="14"/>
  <c r="L186" i="15"/>
  <c r="I88" i="10"/>
  <c r="L88" i="15"/>
  <c r="L88" i="13"/>
  <c r="L88" i="14"/>
  <c r="I83" i="10"/>
  <c r="L83" i="13"/>
  <c r="L83" i="14"/>
  <c r="L83" i="15"/>
  <c r="I130" i="10"/>
  <c r="L130" i="13"/>
  <c r="L130" i="14"/>
  <c r="L130" i="15"/>
  <c r="I13" i="10"/>
  <c r="L13" i="13"/>
  <c r="L13" i="14"/>
  <c r="L13" i="15"/>
  <c r="I93" i="10"/>
  <c r="L93" i="13"/>
  <c r="L93" i="14"/>
  <c r="L93" i="15"/>
  <c r="I214" i="10"/>
  <c r="L214" i="14"/>
  <c r="L214" i="13"/>
  <c r="L214" i="15"/>
  <c r="I17" i="10"/>
  <c r="L17" i="15"/>
  <c r="L17" i="13"/>
  <c r="L17" i="14"/>
  <c r="I46" i="10"/>
  <c r="L46" i="15"/>
  <c r="L46" i="13"/>
  <c r="L46" i="14"/>
  <c r="I109" i="10"/>
  <c r="L109" i="13"/>
  <c r="L109" i="14"/>
  <c r="L109" i="15"/>
  <c r="I140" i="10"/>
  <c r="L140" i="13"/>
  <c r="L140" i="14"/>
  <c r="L140" i="15"/>
  <c r="I76" i="10"/>
  <c r="L76" i="13"/>
  <c r="L76" i="14"/>
  <c r="L76" i="15"/>
  <c r="I200" i="10"/>
  <c r="L200" i="13"/>
  <c r="L200" i="14"/>
  <c r="L200" i="15"/>
  <c r="I35" i="10"/>
  <c r="L35" i="13"/>
  <c r="L35" i="14"/>
  <c r="L35" i="15"/>
  <c r="I42" i="10"/>
  <c r="L42" i="13"/>
  <c r="L42" i="14"/>
  <c r="L42" i="15"/>
  <c r="I106" i="10"/>
  <c r="L106" i="13"/>
  <c r="L106" i="14"/>
  <c r="L106" i="15"/>
  <c r="I146" i="10"/>
  <c r="L146" i="13"/>
  <c r="L146" i="14"/>
  <c r="L146" i="15"/>
  <c r="I25" i="10"/>
  <c r="L25" i="15"/>
  <c r="L25" i="13"/>
  <c r="L25" i="14"/>
  <c r="I20" i="10"/>
  <c r="L20" i="14"/>
  <c r="L20" i="15"/>
  <c r="L20" i="13"/>
  <c r="I49" i="10"/>
  <c r="L49" i="13"/>
  <c r="L49" i="14"/>
  <c r="L49" i="15"/>
  <c r="I117" i="10"/>
  <c r="L117" i="13"/>
  <c r="L117" i="14"/>
  <c r="L117" i="15"/>
  <c r="B103" i="1"/>
  <c r="I201" i="10" l="1"/>
  <c r="I169" i="10"/>
  <c r="I221" i="10"/>
  <c r="N222" i="10"/>
  <c r="I222" i="10" s="1"/>
  <c r="N202" i="10"/>
  <c r="I202" i="10" s="1"/>
  <c r="N78" i="10"/>
  <c r="I77" i="10"/>
  <c r="N170" i="10"/>
  <c r="I170" i="10" s="1"/>
  <c r="L221" i="14"/>
  <c r="L221" i="13"/>
  <c r="L221" i="15"/>
  <c r="O2" i="5"/>
  <c r="Q201" i="10" l="1"/>
  <c r="R201" i="10" s="1"/>
  <c r="Q221" i="10"/>
  <c r="Q169" i="10"/>
  <c r="R169" i="10" s="1"/>
  <c r="I78" i="10"/>
  <c r="Q77" i="10"/>
  <c r="P77" i="10" s="1"/>
  <c r="N223" i="10"/>
  <c r="M2" i="5"/>
  <c r="J2" i="5"/>
  <c r="I2" i="5"/>
  <c r="H2" i="5"/>
  <c r="G2" i="5"/>
  <c r="F2" i="5"/>
  <c r="E2" i="5"/>
  <c r="D2" i="5"/>
  <c r="C2" i="5"/>
  <c r="B2" i="5"/>
  <c r="R221" i="10" l="1"/>
  <c r="P221" i="10"/>
  <c r="P201" i="10"/>
  <c r="R77" i="10"/>
  <c r="P169" i="10"/>
  <c r="N2" i="5"/>
  <c r="H229" i="12"/>
  <c r="L226" i="10" l="1"/>
  <c r="N229" i="10" s="1"/>
  <c r="H227" i="10" s="1"/>
  <c r="H227" i="12" s="1"/>
  <c r="O225" i="10"/>
  <c r="H229" i="10" l="1"/>
  <c r="I223" i="10" s="1"/>
  <c r="N225" i="10" s="1"/>
  <c r="I225" i="10" s="1"/>
  <c r="J227" i="12" s="1"/>
  <c r="P225" i="10" l="1"/>
  <c r="N224" i="10"/>
  <c r="I224" i="10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abuľka2" description="Pripojenie k dotazu Tabuľka2 v zošite." type="5" refreshedVersion="0" background="1">
    <dbPr connection="Provider=Microsoft.Mashup.OleDb.1;Data Source=$Workbook$;Location=Tabuľka2;Extended Properties=&quot;&quot;" command="SELECT * FROM [Tabuľka2]"/>
  </connection>
</connections>
</file>

<file path=xl/sharedStrings.xml><?xml version="1.0" encoding="utf-8"?>
<sst xmlns="http://schemas.openxmlformats.org/spreadsheetml/2006/main" count="3618" uniqueCount="382">
  <si>
    <t>Žiadosť o poskytnutie kompenzácie vybraných taríf pre odberateľov elektriny v domácnosti a pre ostatných koncových odberateľov elektriny</t>
  </si>
  <si>
    <t>Údaje o žiadateľovi</t>
  </si>
  <si>
    <t>IČO</t>
  </si>
  <si>
    <t>DIČ</t>
  </si>
  <si>
    <t>IČ DPH (ak je žiadateľ platca DPH)</t>
  </si>
  <si>
    <t>Názov alebo obchodné meno</t>
  </si>
  <si>
    <t>Právna forma</t>
  </si>
  <si>
    <t>Adresa sídla/miesta podnikania</t>
  </si>
  <si>
    <t>Ulica</t>
  </si>
  <si>
    <t>Súpisné číslo</t>
  </si>
  <si>
    <t>Orientačné číslo</t>
  </si>
  <si>
    <t>PSČ</t>
  </si>
  <si>
    <t>Obec</t>
  </si>
  <si>
    <t>Okres</t>
  </si>
  <si>
    <t>Osoba s právom konať v mene žiadateľa</t>
  </si>
  <si>
    <t>Meno</t>
  </si>
  <si>
    <t>Priezvisko</t>
  </si>
  <si>
    <t>Typ</t>
  </si>
  <si>
    <t>Kontaktná osoba žiadateľa</t>
  </si>
  <si>
    <t>E-mailová adresa</t>
  </si>
  <si>
    <t>Bankové spojenie (IBAN)</t>
  </si>
  <si>
    <t>Rozhodnutie ÚRSO na rok 2023 (podľa Nariadenia vlády SR č. 465/2022 Z.z.)</t>
  </si>
  <si>
    <t>Číslo cenového rozhodnutia</t>
  </si>
  <si>
    <t>Cenové rozhodnutie zo dňa</t>
  </si>
  <si>
    <t>Cenové rozhodnutie ÚRSO na rok 2022</t>
  </si>
  <si>
    <t>Údaje konečného užívateľa výhod, ak výška dotácie presahuje 100 000 EUR</t>
  </si>
  <si>
    <t>Meno 1</t>
  </si>
  <si>
    <t>Priezvisko 1</t>
  </si>
  <si>
    <t xml:space="preserve"> </t>
  </si>
  <si>
    <t>Meno 2</t>
  </si>
  <si>
    <t>Priezvisko 2</t>
  </si>
  <si>
    <t>Meno 3</t>
  </si>
  <si>
    <t>Priezvisko 3</t>
  </si>
  <si>
    <t>Meno 4</t>
  </si>
  <si>
    <t>Priezvisko 4</t>
  </si>
  <si>
    <t>Meno 5</t>
  </si>
  <si>
    <t>Priezvisko 5</t>
  </si>
  <si>
    <t>Meno 6</t>
  </si>
  <si>
    <t>Priezvisko 6</t>
  </si>
  <si>
    <t>Meno 7</t>
  </si>
  <si>
    <t>Priezvisko 7</t>
  </si>
  <si>
    <t>Meno 8</t>
  </si>
  <si>
    <t>Priezvisko 8</t>
  </si>
  <si>
    <t>Meno 9</t>
  </si>
  <si>
    <t>Priezvisko 9</t>
  </si>
  <si>
    <t>Meno 10</t>
  </si>
  <si>
    <t>Priezvisko 10</t>
  </si>
  <si>
    <t>Vyhlásenie žiadateľa o splnení podmienok</t>
  </si>
  <si>
    <t>Nie je voči mne vedené konkurzné konanie, nie som v konkurze, v reštrukturalizácii a nebol proti mne zamietnutý návrh na vyhlásenie konkurzu pre nedostatok majetku.</t>
  </si>
  <si>
    <t>Zvoliť možnosť</t>
  </si>
  <si>
    <t>Vyhlasujem, že údaje uvedené v žiadosti, vrátane údajov pre výpočet kompenzácie, sú pravdivé, presné a úplné a spĺňam podmienky pre kompenzácie stanovené v Nariadení vlády č. 465/2022 Z.z.</t>
  </si>
  <si>
    <t>Vyhlasujem, že nemám právoplatne uložený trest zákazu prijímať dotácie alebo subvencie.</t>
  </si>
  <si>
    <t>Vyhlasujem, že nemám právoplatne uložený trest zákazu prijímať pomoc a podporu poskytovanú z fondov EÚ.</t>
  </si>
  <si>
    <t xml:space="preserve">Potvrdzujem, že spoločnosť je zapísaná do regfistra partnerov verjného sektora. </t>
  </si>
  <si>
    <t>Som si vedomý právnych dôsledkov nepravdivého vyhlásenia o skutočnostiach uvedených v žiadosti podľa zákona č. 372/1990 Z. z. o priestupkoch v znení neskorších predpisov vrátane trestnoprávnych dôsledkov podľa zákona č. 300/2005 Z. z. Trestného zákona v znení neskorších predpisov.</t>
  </si>
  <si>
    <t>Som si vedomý, že v prípade preukázania nepravdivosti údajov uvedených v žiadosti som povinný kompenzáciu bezodkladne vrátiť poskytovateľovi.</t>
  </si>
  <si>
    <t>Súhlasím so spracovaním osobných údajov podľa Zákona č. 18/2018 Z. z. o ochrane osobných údajov a o zmene a doplnení niektorých zákonov.</t>
  </si>
  <si>
    <t>EIC hraničné odber susedná sústava</t>
  </si>
  <si>
    <t>Link URSO</t>
  </si>
  <si>
    <t>Sadzba</t>
  </si>
  <si>
    <t>Tarifa</t>
  </si>
  <si>
    <r>
      <t xml:space="preserve">m.j. </t>
    </r>
    <r>
      <rPr>
        <vertAlign val="superscript"/>
        <sz val="9"/>
        <rFont val="Calibri"/>
        <family val="2"/>
        <charset val="238"/>
        <scheme val="minor"/>
      </rPr>
      <t>2</t>
    </r>
  </si>
  <si>
    <t>Množstvo</t>
  </si>
  <si>
    <t>[m.j.]</t>
  </si>
  <si>
    <t>[€/m.j.]</t>
  </si>
  <si>
    <t>[€]</t>
  </si>
  <si>
    <t>[1]</t>
  </si>
  <si>
    <t>[2]</t>
  </si>
  <si>
    <t>[3]</t>
  </si>
  <si>
    <t>[4]</t>
  </si>
  <si>
    <t>[5]</t>
  </si>
  <si>
    <t>Odberatelia elektriny v domácnosti pripojení na napäťovú úroveň nízkeho napätia</t>
  </si>
  <si>
    <t>D1</t>
  </si>
  <si>
    <t>prístup do distribučnej sústavy</t>
  </si>
  <si>
    <t>distribúcia elektriny</t>
  </si>
  <si>
    <t>MWh</t>
  </si>
  <si>
    <t>n.a.</t>
  </si>
  <si>
    <t>straty</t>
  </si>
  <si>
    <t>distribúcia elektriny + straty</t>
  </si>
  <si>
    <t>D2</t>
  </si>
  <si>
    <t>prístup do distribučnej sústavy (nevidiaci)</t>
  </si>
  <si>
    <t>D3</t>
  </si>
  <si>
    <t>distribúcia elektriny VT</t>
  </si>
  <si>
    <t>distribúcia elektriny VT + straty</t>
  </si>
  <si>
    <t>distribúcia elektriny NT</t>
  </si>
  <si>
    <t>distribúcia elektriny NT + straty</t>
  </si>
  <si>
    <t>D4</t>
  </si>
  <si>
    <t>D5</t>
  </si>
  <si>
    <t>D6</t>
  </si>
  <si>
    <t>D7</t>
  </si>
  <si>
    <t>D8</t>
  </si>
  <si>
    <t>D9</t>
  </si>
  <si>
    <t xml:space="preserve">Odberatelia elektriny v domácnosti pripojení na napäťovú úroveň nízkeho napätia
</t>
  </si>
  <si>
    <t>D10</t>
  </si>
  <si>
    <t>distribúcia elektriny VVT</t>
  </si>
  <si>
    <t>distribúcia elektriny VVT + straty</t>
  </si>
  <si>
    <t>distribúcia elektriny VNT</t>
  </si>
  <si>
    <t>distribúcia elektriny VNT + straty</t>
  </si>
  <si>
    <t>medzisucty</t>
  </si>
  <si>
    <t>mnozstvo</t>
  </si>
  <si>
    <t>bez DPH</t>
  </si>
  <si>
    <t>PRIEMER</t>
  </si>
  <si>
    <t>s DPH</t>
  </si>
  <si>
    <t>Súčet</t>
  </si>
  <si>
    <t>Ostatní koncoví odberatelia elektriny pripojení na napäťovú úroveň nízkeho napätia</t>
  </si>
  <si>
    <t>C1</t>
  </si>
  <si>
    <t>prístup do distribučnej sústavy v A</t>
  </si>
  <si>
    <t>A</t>
  </si>
  <si>
    <t>prístup do distribučnej sústavy v kW</t>
  </si>
  <si>
    <t>kW</t>
  </si>
  <si>
    <t>C2</t>
  </si>
  <si>
    <t>C3</t>
  </si>
  <si>
    <t>C4</t>
  </si>
  <si>
    <t>C5</t>
  </si>
  <si>
    <t>C6</t>
  </si>
  <si>
    <t>C7</t>
  </si>
  <si>
    <t>C8</t>
  </si>
  <si>
    <t>C9</t>
  </si>
  <si>
    <t>OM</t>
  </si>
  <si>
    <t>Ostatní koncoví odberatelia elektriny pripojení na napäťovú úroveň vysokého napätia</t>
  </si>
  <si>
    <t>10W</t>
  </si>
  <si>
    <t>C10</t>
  </si>
  <si>
    <t>C11</t>
  </si>
  <si>
    <t>C12</t>
  </si>
  <si>
    <t>C13</t>
  </si>
  <si>
    <t>Q</t>
  </si>
  <si>
    <t>X2</t>
  </si>
  <si>
    <t>prístup do distribučnej sústavy 1M</t>
  </si>
  <si>
    <t>prístup do distribučnej sústavy 3M</t>
  </si>
  <si>
    <t>prístup do distribučnej sústavy 12M</t>
  </si>
  <si>
    <t>MW</t>
  </si>
  <si>
    <t>prístup do distribučnej sústavy rezervovaný transformačný výkon</t>
  </si>
  <si>
    <t>prístup do distribučnej sústavy 1M (do 5000 kW vrátane) - nadštandard</t>
  </si>
  <si>
    <t>prístup do distribučnej sústavy 3M (do 5000 kW vrátane) - nadštandard</t>
  </si>
  <si>
    <t>prístup do distribučnej sústavy 12M (do 5000 kW vrátane) - nadštandard</t>
  </si>
  <si>
    <t>prístup do distribučnej sústavy 1M (nad 5000 kW) - nadštandard</t>
  </si>
  <si>
    <t>prístup do distribučnej sústavy 3M (nad 5000 kW) - nadštandard</t>
  </si>
  <si>
    <t>prístup do distribučnej sústavy 12M (nad 5000 kW) - nadštandard</t>
  </si>
  <si>
    <t>distribúcia elektriny znížená o 5%</t>
  </si>
  <si>
    <t>distribúcia elektriny znížená o 5% + straty</t>
  </si>
  <si>
    <t>distribúcia elektriny znížená o 10%</t>
  </si>
  <si>
    <t>distribúcia elektriny znížená o 10% + straty</t>
  </si>
  <si>
    <t>X2-S</t>
  </si>
  <si>
    <t>X2 (ADAPT)</t>
  </si>
  <si>
    <t>prístup do distribučnej sústavy ADAPT</t>
  </si>
  <si>
    <t>X2-D</t>
  </si>
  <si>
    <t>Ostatní koncoví odberatelia elektriny pripojení na napäťovú úroveň veľmi vysokého napätia</t>
  </si>
  <si>
    <t>X1</t>
  </si>
  <si>
    <t>prístup do distribučnej sústavy 1M (do 50000 kW vrátane) - nadštandard</t>
  </si>
  <si>
    <t>prístup do distribučnej sústavy 3M (do 50000 kW vrátane) - nadštandard</t>
  </si>
  <si>
    <t>prístup do distribučnej sústavy 12M (do 50000 kW vrátane) - nadštandard</t>
  </si>
  <si>
    <t>prístup do distribučnej sústavy 1M (nad 50000 kW) - nadštandard</t>
  </si>
  <si>
    <t>prístup do distribučnej sústavy 3M (nad 50000 kW) - nadštandard</t>
  </si>
  <si>
    <t>prístup do distribučnej sústavy 12M (nad 50000 kW) - nadštandard</t>
  </si>
  <si>
    <t>pocet</t>
  </si>
  <si>
    <t>Spolu hodnota nátoku bez DPH</t>
  </si>
  <si>
    <t>DPH</t>
  </si>
  <si>
    <t>TEST S DPH</t>
  </si>
  <si>
    <t>CHYBA</t>
  </si>
  <si>
    <t>Spolu s DPH</t>
  </si>
  <si>
    <t>Hodnota nátoku z nadradenej siete pre účely kompenzácie bez DPH</t>
  </si>
  <si>
    <t>POCET CELKOVY</t>
  </si>
  <si>
    <t>[MWh]</t>
  </si>
  <si>
    <r>
      <t xml:space="preserve">Sumárny rozdiel cien vybraných druhov taríf </t>
    </r>
    <r>
      <rPr>
        <vertAlign val="superscript"/>
        <sz val="16"/>
        <color theme="0"/>
        <rFont val="Calibri"/>
        <family val="2"/>
        <charset val="238"/>
        <scheme val="minor"/>
      </rPr>
      <t>6</t>
    </r>
  </si>
  <si>
    <t>[€/MWh]</t>
  </si>
  <si>
    <t>Poznámky:</t>
  </si>
  <si>
    <t>1 Bunky so zeleným pozadím vypĺňa PMDS kde sa uvedú hodnoty a premenné zodpovedajúce nátoku z nadradenej distribučnej sústavy.</t>
  </si>
  <si>
    <t>2 Vyplní PMDS podľa cenového rozhodnutia ÚRSO pre PRDS alebo PMDS.</t>
  </si>
  <si>
    <t>4 Kompenzácia sa zaokrúhľuje na 2 desatinné miesta.</t>
  </si>
  <si>
    <t>5 Spotreba podiehajúca kompenzácii sa zaokrúhľuje na 3 desatinné miesta (použije sa na žiadosť PMDS o kompenzáciu na MH SR).</t>
  </si>
  <si>
    <t>6 Priemerná kompenzácia za vybrané druhy taríf / MWh sa zaokrúhľuje na 6 desatinných miest (použije sa na žiadosť PMDS o kompenzáciu na MH SR).</t>
  </si>
  <si>
    <t>7 Údaje v bunkách s červených pozadím vstupujú do žiadosti PMDS o kompenzáciu na MH SR.</t>
  </si>
  <si>
    <t>Tarify podľa rozhodnutí ÚRSO na roky 2022 a 2024, ktoré sa uplatňujú na distribuované množstvo sa uvedú v €/MWh.</t>
  </si>
  <si>
    <t>Vážený priemer NN domácnosti</t>
  </si>
  <si>
    <t>Vážený priemer ostatní koncoví odberatelia NN</t>
  </si>
  <si>
    <t>Vážený priemer ostatní odberatelia koncoví VN</t>
  </si>
  <si>
    <t>bez dph</t>
  </si>
  <si>
    <t>s dph</t>
  </si>
  <si>
    <t>Vážený priemer ostatní koncoví odberatelia VVN</t>
  </si>
  <si>
    <t>Spolu bez DPH</t>
  </si>
  <si>
    <t>SUMA S DPH</t>
  </si>
  <si>
    <t>Výsledná kompenzácia ponížená o hodnotu nátoku bez DPH</t>
  </si>
  <si>
    <t>Skryt</t>
  </si>
  <si>
    <t>Rozdiel nadradena formular vs uvedena v natoku</t>
  </si>
  <si>
    <t>Tarifa na rok 2022 podľa rozhodnutia ÚRSO č. 
XXXX</t>
  </si>
  <si>
    <t>Tarifa na rok 2024 podľa rozhodnutia ÚRSO č.
XXXX</t>
  </si>
  <si>
    <t>rozdiel ziadost</t>
  </si>
  <si>
    <t xml:space="preserve">rozdiel v eur                                                                          </t>
  </si>
  <si>
    <t>rozdiel</t>
  </si>
  <si>
    <t xml:space="preserve">rozdiel v eur                                                                 </t>
  </si>
  <si>
    <t>MVA</t>
  </si>
  <si>
    <t xml:space="preserve">rozdiel v eur                                                                           </t>
  </si>
  <si>
    <t>Bánovce nad Bebravou</t>
  </si>
  <si>
    <t>Banská Bystrica</t>
  </si>
  <si>
    <t>Banská Štiavnica</t>
  </si>
  <si>
    <t>Bardejov</t>
  </si>
  <si>
    <t>Bratislava I</t>
  </si>
  <si>
    <t>Bratislava II</t>
  </si>
  <si>
    <t>Bratislava III</t>
  </si>
  <si>
    <t>Bratislava IV</t>
  </si>
  <si>
    <t>Bratislava V</t>
  </si>
  <si>
    <t>Brezno</t>
  </si>
  <si>
    <t>Bytča</t>
  </si>
  <si>
    <t>Čadca</t>
  </si>
  <si>
    <t>Detva</t>
  </si>
  <si>
    <t>Dolný Kubín</t>
  </si>
  <si>
    <t>Dunajská Streda</t>
  </si>
  <si>
    <t>Galanta</t>
  </si>
  <si>
    <t>Gelnica</t>
  </si>
  <si>
    <t>Hlohovec</t>
  </si>
  <si>
    <t>Humenné</t>
  </si>
  <si>
    <t>Ilava</t>
  </si>
  <si>
    <t>Kežmarok</t>
  </si>
  <si>
    <t>Komárno</t>
  </si>
  <si>
    <t>Košice - okolie</t>
  </si>
  <si>
    <t>Košice I</t>
  </si>
  <si>
    <t>Košice II</t>
  </si>
  <si>
    <t>Košice III</t>
  </si>
  <si>
    <t>Košice IV</t>
  </si>
  <si>
    <t>Krupina</t>
  </si>
  <si>
    <t>Kysucké Nové Mesto</t>
  </si>
  <si>
    <t>Levice</t>
  </si>
  <si>
    <t>Levoča</t>
  </si>
  <si>
    <t>Liptovský Mikuláš</t>
  </si>
  <si>
    <t>Lučenec</t>
  </si>
  <si>
    <t>Malacky</t>
  </si>
  <si>
    <t>Martin</t>
  </si>
  <si>
    <t>Medzilaborce</t>
  </si>
  <si>
    <t>Michalovce</t>
  </si>
  <si>
    <t>Myjava</t>
  </si>
  <si>
    <t>Námestovo</t>
  </si>
  <si>
    <t>Nitra</t>
  </si>
  <si>
    <t>Nové Mesto nad Váhom</t>
  </si>
  <si>
    <t>Nové Zámky</t>
  </si>
  <si>
    <t>Partizánske</t>
  </si>
  <si>
    <t>Pezinok</t>
  </si>
  <si>
    <t>Piešťany</t>
  </si>
  <si>
    <t>Poltár</t>
  </si>
  <si>
    <t>Poprad</t>
  </si>
  <si>
    <t>Považská Bystrica</t>
  </si>
  <si>
    <t>Prešov</t>
  </si>
  <si>
    <t>Prievidza</t>
  </si>
  <si>
    <t>Púchov</t>
  </si>
  <si>
    <t>Revúca</t>
  </si>
  <si>
    <t>Rimavská Sobota</t>
  </si>
  <si>
    <t>Rožňava</t>
  </si>
  <si>
    <t>Ružomberok</t>
  </si>
  <si>
    <t>Sabinov</t>
  </si>
  <si>
    <t>Senec</t>
  </si>
  <si>
    <t>Senica</t>
  </si>
  <si>
    <t>Skalica</t>
  </si>
  <si>
    <t>Snina</t>
  </si>
  <si>
    <t>Sobrance</t>
  </si>
  <si>
    <t>Spišská Nová Ves</t>
  </si>
  <si>
    <t>Stará Ľubovňa</t>
  </si>
  <si>
    <t>Stropkov</t>
  </si>
  <si>
    <t>Svidník</t>
  </si>
  <si>
    <t>Šaľa</t>
  </si>
  <si>
    <t>Topoľčany</t>
  </si>
  <si>
    <t>Trebišov</t>
  </si>
  <si>
    <t>Trenčín</t>
  </si>
  <si>
    <t>Trnava</t>
  </si>
  <si>
    <t>Turčianske Teplice</t>
  </si>
  <si>
    <t>Tvrdošín</t>
  </si>
  <si>
    <t>Veľký Krtíš</t>
  </si>
  <si>
    <t>Vranov nad Topľou</t>
  </si>
  <si>
    <t>Zlaté Moravce</t>
  </si>
  <si>
    <t>Zvolen</t>
  </si>
  <si>
    <t>Žarnovica</t>
  </si>
  <si>
    <t>Žiar nad Hronom</t>
  </si>
  <si>
    <t>Žilina</t>
  </si>
  <si>
    <t>Číslo spisu Fabasoft</t>
  </si>
  <si>
    <t>IČ DPH</t>
  </si>
  <si>
    <t>Variabilný symbol</t>
  </si>
  <si>
    <t>Ekonomická klasifikácia</t>
  </si>
  <si>
    <t>Číslo cenového rozhodnutia URSO</t>
  </si>
  <si>
    <t>Výška kompenzácie s DPH</t>
  </si>
  <si>
    <t>Vyplnené všetky čestné prehlásenia</t>
  </si>
  <si>
    <t>Priložené všetky prílohy</t>
  </si>
  <si>
    <t>Výzva na doplnenie</t>
  </si>
  <si>
    <t>Zaslané oznámenie o schválení dotácie</t>
  </si>
  <si>
    <t>Meno kontrolujúceho pracovníka</t>
  </si>
  <si>
    <t>číslo žiadosti</t>
  </si>
  <si>
    <t>zistiť</t>
  </si>
  <si>
    <t>Rozdiel vysporiadania ročného zúčtovania za rok 2024</t>
  </si>
  <si>
    <t>údaje z hárku Distribúcia KS v PMDS</t>
  </si>
  <si>
    <t xml:space="preserve">Tarifa na rok 2022 podľa rozhodnutia ÚRSO č. 
XXXX/2022/E   </t>
  </si>
  <si>
    <t>Tarifa na rok 2024 podľa rozhodnutia ÚRSO č.
XXXX/2024/E</t>
  </si>
  <si>
    <t>Príloha k žiadosti o ročné zúčtovanie kompenzácií  vybraných druhov taríf pre odberateľov elektriny v domácnosti a pre ostatných koncových odberateľov elektriny za rok 2024</t>
  </si>
  <si>
    <t xml:space="preserve">Tarifa na rok 2022 podľa rozhodnutia ÚRSO č. 
XXXX/2022/E </t>
  </si>
  <si>
    <t>Mesiac: 01-12/2024                                                     PRDS: ZSD, a.s.</t>
  </si>
  <si>
    <t>Mesiac: 01-12/2024                                                     PRDS: SSD, a.s.</t>
  </si>
  <si>
    <t>Mesiac: 01-12/2024                                                     PRDS: VSD, a.s.</t>
  </si>
  <si>
    <t>Distribuované množstvo elektriny (podliehajúce kompenzácii)</t>
  </si>
  <si>
    <r>
      <t xml:space="preserve">m.j. </t>
    </r>
    <r>
      <rPr>
        <vertAlign val="superscript"/>
        <sz val="9"/>
        <rFont val="Calibri"/>
        <family val="2"/>
        <scheme val="minor"/>
      </rPr>
      <t>2</t>
    </r>
  </si>
  <si>
    <t>Oprávnený žiadateľ o ročné zúčtovanie 2024 je iba subjekt, ktorý v roku 2024 spĺňal všetky</t>
  </si>
  <si>
    <t xml:space="preserve">podmienky vyplývajúce z Nariadenia vlády Slovenskej republiky č. 472/2023 Z. z. (ďalej ako 
</t>
  </si>
  <si>
    <t>01</t>
  </si>
  <si>
    <t>Výsledná hodnota ročného zúčtovania za 01-12/2024</t>
  </si>
  <si>
    <t>Názov PMDS:</t>
  </si>
  <si>
    <t>Nárok na kompenzáciu za rok 2024</t>
  </si>
  <si>
    <t>02</t>
  </si>
  <si>
    <t>Hárok "Nátok z PRDS"</t>
  </si>
  <si>
    <t>Názov PRDS (nadradenej sústavy)</t>
  </si>
  <si>
    <t>Hárok "Distribúcia KS v PMDS"</t>
  </si>
  <si>
    <t>Názov PMDS (lokality) žiadajúcej o ročné zúčtovanie za rok 2024</t>
  </si>
  <si>
    <t>Údaj sa vyplní automaticky</t>
  </si>
  <si>
    <t>03</t>
  </si>
  <si>
    <t>04</t>
  </si>
  <si>
    <t>05</t>
  </si>
  <si>
    <t>Hárok "Výsledok RZ 2024 Tarify"</t>
  </si>
  <si>
    <t>06</t>
  </si>
  <si>
    <t>07</t>
  </si>
  <si>
    <t>08</t>
  </si>
  <si>
    <t>09</t>
  </si>
  <si>
    <t>10</t>
  </si>
  <si>
    <t>11</t>
  </si>
  <si>
    <t>12</t>
  </si>
  <si>
    <r>
      <t>Hodnota nátoku z PRDS (</t>
    </r>
    <r>
      <rPr>
        <sz val="11"/>
        <color rgb="FFFF0000"/>
        <rFont val="Calibri"/>
        <family val="2"/>
        <charset val="238"/>
        <scheme val="minor"/>
      </rPr>
      <t>nadradenej sústavy</t>
    </r>
    <r>
      <rPr>
        <sz val="11"/>
        <rFont val="Calibri"/>
        <family val="2"/>
        <scheme val="minor"/>
      </rPr>
      <t>) za rok 2024</t>
    </r>
  </si>
  <si>
    <t>13</t>
  </si>
  <si>
    <t>*)</t>
  </si>
  <si>
    <t>Jednotlivé hárky/karty je potrebné podpísať, opečiatkovať, naskenovať do PDF formátu</t>
  </si>
  <si>
    <t>a následne zaslať s prílohou vo formáte MS excel na e-mailovú adresu poplatky.kompenzacia@mhsr.sk</t>
  </si>
  <si>
    <t xml:space="preserve"> - hárok "Výsledok RZ 2024 Tarify"</t>
  </si>
  <si>
    <t xml:space="preserve"> - hárok "Nátok PRDS"</t>
  </si>
  <si>
    <t xml:space="preserve"> - hárok "Distribúcia KS v PMDS"</t>
  </si>
  <si>
    <r>
      <t xml:space="preserve">Distribuované množstvo elektriny (podliehajúce kompenzácii) </t>
    </r>
    <r>
      <rPr>
        <vertAlign val="superscript"/>
        <sz val="16"/>
        <color theme="0"/>
        <rFont val="Calibri"/>
        <family val="2"/>
        <charset val="238"/>
        <scheme val="minor"/>
      </rPr>
      <t>5</t>
    </r>
  </si>
  <si>
    <t>Nemám právoplatne uložený trest zákazu prijímať dotácie alebo subvencie.</t>
  </si>
  <si>
    <t xml:space="preserve">Nemám právoplatne uložený trest zákazu prijímať pomoc a podporu poskytovanú z fondov Európskej únie. </t>
  </si>
  <si>
    <t>Vyhlasujem, že údaje uvedené v žiadosti, vrátane údajov pre výpočet kompenzácie, sú pravdivé, presné a úplné, a spĺňam podmienky oprávnenosti prijatia kompenzácie.</t>
  </si>
  <si>
    <t>Som si vedomý, že v prípade preukázania nepravdivosti údajov uvedených v žiadosti, som povinný kompenzáciu bezodkladne vrátiť poskytovateľovi.</t>
  </si>
  <si>
    <t>Vyjadrujem výslovný súhlas s verifikáciou údajov uvedených v žiadosti u príslušných subjektoch.</t>
  </si>
  <si>
    <t>Nie je voči mne vedený výkon rozhodnutia.</t>
  </si>
  <si>
    <t>Neporušil som v predchádzajúcich troch rokoch zákaz nelegálneho zamestnávania podľa osobitného predpisu.</t>
  </si>
  <si>
    <t>Mám vysporiadané finančné vzťahy so štátnym rozpočtom.</t>
  </si>
  <si>
    <t xml:space="preserve">Nemám evidované nedoplatky na poistnom na sociálne poistenie a zdravotná poisťovňa voči mne neeviduje pohľadávky po splatnosti podľa osobitných predpisov. </t>
  </si>
  <si>
    <t>Nie som subjektom, na ktorý sa vzťahujú sankcie, ktoré prijala EÚ v dôsledku agresie Ruska proti Ukrajine.</t>
  </si>
  <si>
    <t>Nie som osoba, subjekt alebo orgán konkrétne uvedený v právnych aktoch, ktorými sa ukladajú sankcie, ktoré prijala EÚ v dôsledku agresie Ruska proti Ukrajine.</t>
  </si>
  <si>
    <t>Nie som subjektom vo vlastníctve alebo pod kontrolou osôb, subjektov alebo orgánov, na ktoré sú zamerané sankcie, ktoré prijala EÚ v dôsledku agresie Ruska proti Ukrajine.</t>
  </si>
  <si>
    <t>Nie som subjektom pôsobiacim v priemyselných odvetviach, na ktoré sú zamerané sankcie, ktoré prijala EÚ, a táto pomoc nevedie k mareniu cieľov príslušných sankcií.</t>
  </si>
  <si>
    <t>Som zapísaný v registri partnerov verejného sektora.</t>
  </si>
  <si>
    <t>obdobie 01-12/2024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</si>
  <si>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</si>
  <si>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</si>
  <si>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</si>
  <si>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</si>
  <si>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</si>
  <si>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</si>
  <si>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</si>
  <si>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</si>
  <si>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</si>
  <si>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</si>
  <si>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</si>
  <si>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</si>
  <si>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Prijaté kompenzácie 
za rok 2024</t>
  </si>
  <si>
    <t>Hodnota prijatých kompenzácií za rok 2024</t>
  </si>
  <si>
    <t>Hárok "Údaje o žiadateľovi"</t>
  </si>
  <si>
    <t xml:space="preserve"> - hárok "Údaje o žiadateľovi"</t>
  </si>
  <si>
    <t>xxxx</t>
  </si>
  <si>
    <t>Do formulára o ročné zúčtovanie zadajte hodnoty:</t>
  </si>
  <si>
    <t>Do jednotlivých buniek vyplňte údaje o Vašej spoločnosti</t>
  </si>
  <si>
    <t>Návod na ročné zúčtovanie kompenzácie cien vybraných druhov taríf za odberateľov elektriny za rok 2024</t>
  </si>
  <si>
    <t>,,nariadenie vlády") a príslušných usmernení k nariadeniu vlády.</t>
  </si>
  <si>
    <t>Do jednotlivých buniek zadajte čísla rozhodnutí ÚRSO za rok</t>
  </si>
  <si>
    <t xml:space="preserve"> 2022 a 2024 a hodnoty za rok 2022 a 2024</t>
  </si>
  <si>
    <t>podľa príslušnej napäťovej úrovne</t>
  </si>
  <si>
    <t>Hodnota distribuovaného množstva elektriny za rok 2024</t>
  </si>
  <si>
    <t>Žiadosť o ročné zúčtovanie kompenzíácií ročné zúčtovanie kompenzácií 
cien vybraných druhov taríf za odberateľov elektriny za rok 2024</t>
  </si>
  <si>
    <t>Údaje o konečnom užívateľovi výhod, ak výška kompenzácie presahuje 100 000 EUR</t>
  </si>
  <si>
    <t>Príloha k žiadosti o ročné zúčtovanie kompenzácií cien vybraných druhov taríf za odberateľov elektriny za rok 2024</t>
  </si>
  <si>
    <t>Spolu za rok 2024</t>
  </si>
  <si>
    <t>prijaté kompenzácie za rok 2024</t>
  </si>
  <si>
    <t>Spolu</t>
  </si>
  <si>
    <t xml:space="preserve">Mesiac: 01-12/2024
PRDS: </t>
  </si>
  <si>
    <r>
      <t xml:space="preserve">Kompenzácia </t>
    </r>
    <r>
      <rPr>
        <vertAlign val="superscript"/>
        <sz val="9"/>
        <rFont val="Calibri"/>
        <family val="2"/>
        <charset val="238"/>
        <scheme val="minor"/>
      </rPr>
      <t xml:space="preserve">4
</t>
    </r>
    <r>
      <rPr>
        <sz val="9"/>
        <rFont val="Calibri"/>
        <family val="2"/>
        <scheme val="minor"/>
      </rPr>
      <t>[1]x[4]</t>
    </r>
  </si>
  <si>
    <r>
      <t xml:space="preserve">Rozdiel </t>
    </r>
    <r>
      <rPr>
        <vertAlign val="superscript"/>
        <sz val="9"/>
        <rFont val="Calibri"/>
        <family val="2"/>
        <charset val="238"/>
        <scheme val="minor"/>
      </rPr>
      <t xml:space="preserve">3
</t>
    </r>
    <r>
      <rPr>
        <sz val="9"/>
        <rFont val="Calibri"/>
        <family val="2"/>
        <scheme val="minor"/>
      </rPr>
      <t>[3]-[2]</t>
    </r>
  </si>
  <si>
    <t>3 V prípade, že je rozdiel menší alebo rovný 0, PMDS nežiada o kompenzáciu a nevypĺňa stĺpec č. 1 (množstvo v technických jednotkách).</t>
  </si>
  <si>
    <t>Hodnota nátoku z nadradenej siete predstavuje hodnotu o ktorú bude výsledná kompenzácia pre PMDS ponížená a bola vypočítaná ako násobok sumárneho rozdielu cien vybraných druhov taríf a distribuovaného množstva elektriny podliehajúce kompenzácii.</t>
  </si>
  <si>
    <t>suma v eur bez DPH</t>
  </si>
  <si>
    <t>suma v eur s DPH</t>
  </si>
  <si>
    <t>Mesiac: 01-12/2024
PMDS:</t>
  </si>
  <si>
    <t>1 Bunky so zeleným pozadím vypĺňa PMDS.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</si>
</sst>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#,##0.00_ ;\-#,##0.00\ "/>
    <numFmt numFmtId="167" formatCode="_-* #,##0.000000\ _€_-;\-* #,##0.000000\ _€_-;_-* &quot;-&quot;??\ _€_-;_-@_-"/>
    <numFmt numFmtId="168" formatCode="_-* #,##0\ _€_-;\-* #,##0\ _€_-;_-* &quot;-&quot;??\ _€_-;_-@_-"/>
    <numFmt numFmtId="169" formatCode="0.000000"/>
    <numFmt numFmtId="170" formatCode="#,##0.000000"/>
    <numFmt numFmtId="171" formatCode="#,##0.000000_ ;\-#,##0.000000\ "/>
    <numFmt numFmtId="172" formatCode="0.000"/>
    <numFmt numFmtId="173" formatCode="#,##0.000"/>
    <numFmt numFmtId="174" formatCode="#,##0.000_ ;\-#,##0.000\ 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4"/>
      <color rgb="FFA10D29"/>
      <name val="Calibri"/>
      <family val="2"/>
      <charset val="238"/>
      <scheme val="minor"/>
    </font>
    <font>
      <b/>
      <sz val="11"/>
      <color rgb="FFA10D29"/>
      <name val="Calibri"/>
      <family val="2"/>
      <charset val="238"/>
      <scheme val="minor"/>
    </font>
    <font>
      <strike/>
      <sz val="11"/>
      <name val="Calibri"/>
      <family val="2"/>
    </font>
    <font>
      <strike/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 Light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339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vertAlign val="superscript"/>
      <sz val="16"/>
      <color theme="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5"/>
      <name val="Calibri"/>
      <family val="2"/>
      <scheme val="minor"/>
    </font>
    <font>
      <b/>
      <sz val="1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6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1" fillId="0" borderId="0">
      <alignment vertical="center"/>
    </xf>
    <xf numFmtId="0" fontId="44" fillId="0" borderId="0" applyNumberFormat="0" applyFill="0" applyBorder="0" applyAlignment="0" applyProtection="0"/>
    <xf numFmtId="0" fontId="3" fillId="0" borderId="0"/>
    <xf numFmtId="0" fontId="2" fillId="0" borderId="0"/>
    <xf numFmtId="0" fontId="59" fillId="0" borderId="0" applyNumberFormat="0" applyFill="0" applyBorder="0" applyAlignment="0" applyProtection="0"/>
  </cellStyleXfs>
  <cellXfs count="342">
    <xf numFmtId="0" fontId="0" fillId="0" borderId="0" xfId="0"/>
    <xf numFmtId="0" fontId="7" fillId="0" borderId="0" xfId="0" applyFont="1"/>
    <xf numFmtId="0" fontId="14" fillId="0" borderId="0" xfId="0" applyFont="1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18" fillId="0" borderId="0" xfId="4" applyFont="1"/>
    <xf numFmtId="0" fontId="27" fillId="5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2" fontId="27" fillId="5" borderId="5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19" fillId="0" borderId="0" xfId="0" applyFont="1"/>
    <xf numFmtId="0" fontId="11" fillId="3" borderId="0" xfId="0" applyFont="1" applyFill="1"/>
    <xf numFmtId="0" fontId="20" fillId="0" borderId="0" xfId="0" applyFont="1"/>
    <xf numFmtId="0" fontId="8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7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0" fillId="4" borderId="1" xfId="0" applyFill="1" applyBorder="1" applyProtection="1">
      <protection locked="0"/>
    </xf>
    <xf numFmtId="0" fontId="8" fillId="4" borderId="1" xfId="0" applyFont="1" applyFill="1" applyBorder="1" applyAlignment="1" applyProtection="1">
      <alignment horizontal="right"/>
      <protection locked="0"/>
    </xf>
    <xf numFmtId="0" fontId="9" fillId="4" borderId="1" xfId="0" applyFont="1" applyFill="1" applyBorder="1" applyProtection="1">
      <protection locked="0"/>
    </xf>
    <xf numFmtId="0" fontId="14" fillId="4" borderId="1" xfId="0" applyFont="1" applyFill="1" applyBorder="1" applyProtection="1">
      <protection locked="0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32" fillId="0" borderId="5" xfId="0" applyFont="1" applyBorder="1" applyAlignment="1">
      <alignment horizontal="center" vertical="center" wrapText="1"/>
    </xf>
    <xf numFmtId="0" fontId="32" fillId="0" borderId="5" xfId="0" applyFont="1" applyBorder="1" applyAlignment="1" applyProtection="1">
      <alignment horizontal="center" vertical="center" wrapText="1"/>
      <protection hidden="1"/>
    </xf>
    <xf numFmtId="0" fontId="32" fillId="0" borderId="5" xfId="0" applyFont="1" applyBorder="1" applyAlignment="1" applyProtection="1">
      <alignment horizontal="center" vertical="center"/>
      <protection hidden="1"/>
    </xf>
    <xf numFmtId="169" fontId="32" fillId="0" borderId="5" xfId="0" applyNumberFormat="1" applyFont="1" applyBorder="1" applyAlignment="1" applyProtection="1">
      <alignment horizontal="center" vertical="center"/>
      <protection hidden="1"/>
    </xf>
    <xf numFmtId="169" fontId="34" fillId="0" borderId="5" xfId="0" applyNumberFormat="1" applyFont="1" applyBorder="1" applyAlignment="1" applyProtection="1">
      <alignment horizontal="center" vertical="center"/>
      <protection hidden="1"/>
    </xf>
    <xf numFmtId="0" fontId="36" fillId="0" borderId="5" xfId="0" applyFont="1" applyBorder="1" applyAlignment="1" applyProtection="1">
      <alignment horizontal="center" vertical="center"/>
      <protection hidden="1"/>
    </xf>
    <xf numFmtId="0" fontId="37" fillId="9" borderId="5" xfId="0" applyFont="1" applyFill="1" applyBorder="1" applyAlignment="1" applyProtection="1">
      <alignment horizontal="center" vertical="center" wrapText="1"/>
      <protection locked="0"/>
    </xf>
    <xf numFmtId="169" fontId="32" fillId="9" borderId="5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9" fontId="34" fillId="9" borderId="5" xfId="0" applyNumberFormat="1" applyFont="1" applyFill="1" applyBorder="1" applyAlignment="1" applyProtection="1">
      <alignment horizontal="center" vertical="center"/>
      <protection locked="0" hidden="1"/>
    </xf>
    <xf numFmtId="0" fontId="43" fillId="0" borderId="0" xfId="0" applyFont="1" applyAlignment="1">
      <alignment vertical="center"/>
    </xf>
    <xf numFmtId="0" fontId="32" fillId="0" borderId="10" xfId="0" applyFont="1" applyBorder="1" applyAlignment="1" applyProtection="1">
      <alignment horizontal="center" vertical="center" wrapText="1"/>
      <protection hidden="1"/>
    </xf>
    <xf numFmtId="0" fontId="32" fillId="0" borderId="10" xfId="0" applyFont="1" applyBorder="1" applyAlignment="1" applyProtection="1">
      <alignment horizontal="center" vertical="center"/>
      <protection hidden="1"/>
    </xf>
    <xf numFmtId="169" fontId="32" fillId="0" borderId="5" xfId="3" applyNumberFormat="1" applyFont="1" applyFill="1" applyBorder="1" applyAlignment="1" applyProtection="1">
      <alignment vertical="center"/>
      <protection hidden="1"/>
    </xf>
    <xf numFmtId="169" fontId="34" fillId="0" borderId="5" xfId="3" applyNumberFormat="1" applyFont="1" applyFill="1" applyBorder="1" applyAlignment="1" applyProtection="1">
      <alignment vertical="center"/>
      <protection hidden="1"/>
    </xf>
    <xf numFmtId="169" fontId="36" fillId="2" borderId="5" xfId="3" applyNumberFormat="1" applyFont="1" applyFill="1" applyBorder="1" applyAlignment="1" applyProtection="1">
      <alignment horizontal="center" vertical="center"/>
      <protection hidden="1"/>
    </xf>
    <xf numFmtId="0" fontId="32" fillId="0" borderId="24" xfId="0" applyFont="1" applyBorder="1" applyAlignment="1" applyProtection="1">
      <alignment horizontal="center" vertical="center"/>
      <protection hidden="1"/>
    </xf>
    <xf numFmtId="166" fontId="32" fillId="0" borderId="25" xfId="3" applyNumberFormat="1" applyFont="1" applyFill="1" applyBorder="1" applyAlignment="1" applyProtection="1">
      <alignment vertical="center"/>
      <protection hidden="1"/>
    </xf>
    <xf numFmtId="0" fontId="32" fillId="0" borderId="27" xfId="0" applyFont="1" applyBorder="1" applyAlignment="1" applyProtection="1">
      <alignment horizontal="center" vertical="center"/>
      <protection hidden="1"/>
    </xf>
    <xf numFmtId="166" fontId="32" fillId="0" borderId="28" xfId="3" applyNumberFormat="1" applyFont="1" applyFill="1" applyBorder="1" applyAlignment="1" applyProtection="1">
      <alignment vertical="center"/>
      <protection hidden="1"/>
    </xf>
    <xf numFmtId="0" fontId="45" fillId="0" borderId="24" xfId="0" applyFont="1" applyBorder="1" applyAlignment="1" applyProtection="1">
      <alignment horizontal="center" vertical="center"/>
      <protection hidden="1"/>
    </xf>
    <xf numFmtId="166" fontId="45" fillId="0" borderId="25" xfId="3" applyNumberFormat="1" applyFont="1" applyFill="1" applyBorder="1" applyAlignment="1" applyProtection="1">
      <alignment vertical="center"/>
      <protection hidden="1"/>
    </xf>
    <xf numFmtId="0" fontId="45" fillId="0" borderId="30" xfId="0" applyFont="1" applyBorder="1" applyAlignment="1" applyProtection="1">
      <alignment horizontal="center" vertical="center"/>
      <protection hidden="1"/>
    </xf>
    <xf numFmtId="166" fontId="45" fillId="0" borderId="31" xfId="3" applyNumberFormat="1" applyFont="1" applyFill="1" applyBorder="1" applyAlignment="1" applyProtection="1">
      <alignment vertical="center"/>
      <protection hidden="1"/>
    </xf>
    <xf numFmtId="169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169" fontId="34" fillId="9" borderId="5" xfId="3" applyNumberFormat="1" applyFont="1" applyFill="1" applyBorder="1" applyAlignment="1" applyProtection="1">
      <alignment horizontal="center" vertical="center"/>
      <protection locked="0" hidden="1"/>
    </xf>
    <xf numFmtId="168" fontId="32" fillId="9" borderId="5" xfId="3" applyNumberFormat="1" applyFont="1" applyFill="1" applyBorder="1" applyAlignment="1" applyProtection="1">
      <alignment vertical="center"/>
      <protection locked="0" hidden="1"/>
    </xf>
    <xf numFmtId="164" fontId="32" fillId="9" borderId="5" xfId="3" applyFont="1" applyFill="1" applyBorder="1" applyAlignment="1" applyProtection="1">
      <alignment vertical="center"/>
      <protection locked="0" hidden="1"/>
    </xf>
    <xf numFmtId="166" fontId="36" fillId="2" borderId="5" xfId="3" applyNumberFormat="1" applyFont="1" applyFill="1" applyBorder="1" applyAlignment="1" applyProtection="1">
      <alignment vertical="center"/>
      <protection hidden="1"/>
    </xf>
    <xf numFmtId="164" fontId="34" fillId="9" borderId="5" xfId="3" applyFont="1" applyFill="1" applyBorder="1" applyAlignment="1" applyProtection="1">
      <alignment vertical="center"/>
      <protection locked="0" hidden="1"/>
    </xf>
    <xf numFmtId="168" fontId="34" fillId="9" borderId="5" xfId="3" applyNumberFormat="1" applyFont="1" applyFill="1" applyBorder="1" applyAlignment="1" applyProtection="1">
      <alignment vertical="center"/>
      <protection locked="0" hidden="1"/>
    </xf>
    <xf numFmtId="169" fontId="0" fillId="0" borderId="0" xfId="0" applyNumberFormat="1"/>
    <xf numFmtId="169" fontId="36" fillId="2" borderId="32" xfId="3" applyNumberFormat="1" applyFont="1" applyFill="1" applyBorder="1" applyAlignment="1" applyProtection="1">
      <alignment horizontal="center" vertical="center"/>
      <protection locked="0" hidden="1"/>
    </xf>
    <xf numFmtId="168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169" fontId="0" fillId="11" borderId="0" xfId="0" applyNumberFormat="1" applyFill="1"/>
    <xf numFmtId="0" fontId="0" fillId="11" borderId="0" xfId="0" applyFill="1"/>
    <xf numFmtId="0" fontId="0" fillId="0" borderId="0" xfId="0" applyAlignment="1" applyProtection="1">
      <alignment vertical="center"/>
      <protection locked="0"/>
    </xf>
    <xf numFmtId="0" fontId="0" fillId="9" borderId="1" xfId="0" applyFill="1" applyBorder="1" applyAlignment="1" applyProtection="1">
      <alignment vertical="center"/>
      <protection locked="0"/>
    </xf>
    <xf numFmtId="0" fontId="44" fillId="9" borderId="1" xfId="10" applyNumberForma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32" fillId="0" borderId="5" xfId="0" applyFont="1" applyBorder="1" applyAlignment="1" applyProtection="1">
      <alignment vertical="center" wrapText="1"/>
      <protection hidden="1"/>
    </xf>
    <xf numFmtId="0" fontId="34" fillId="0" borderId="5" xfId="0" applyFont="1" applyBorder="1" applyAlignment="1" applyProtection="1">
      <alignment vertical="center" wrapText="1"/>
      <protection hidden="1"/>
    </xf>
    <xf numFmtId="0" fontId="37" fillId="0" borderId="5" xfId="0" applyFont="1" applyBorder="1" applyAlignment="1" applyProtection="1">
      <alignment vertical="center" wrapText="1"/>
      <protection hidden="1"/>
    </xf>
    <xf numFmtId="0" fontId="36" fillId="0" borderId="5" xfId="0" applyFont="1" applyBorder="1" applyAlignment="1" applyProtection="1">
      <alignment vertical="center" wrapText="1"/>
      <protection hidden="1"/>
    </xf>
    <xf numFmtId="0" fontId="32" fillId="0" borderId="26" xfId="0" applyFont="1" applyBorder="1" applyAlignment="1" applyProtection="1">
      <alignment vertical="center" wrapText="1"/>
      <protection hidden="1"/>
    </xf>
    <xf numFmtId="0" fontId="32" fillId="0" borderId="23" xfId="0" applyFont="1" applyBorder="1" applyAlignment="1" applyProtection="1">
      <alignment vertical="center" wrapText="1"/>
      <protection hidden="1"/>
    </xf>
    <xf numFmtId="0" fontId="45" fillId="0" borderId="29" xfId="0" applyFont="1" applyBorder="1" applyAlignment="1" applyProtection="1">
      <alignment vertical="center" wrapText="1"/>
      <protection hidden="1"/>
    </xf>
    <xf numFmtId="0" fontId="36" fillId="0" borderId="5" xfId="0" applyFont="1" applyBorder="1" applyAlignment="1" applyProtection="1">
      <alignment horizontal="center" vertical="center" wrapText="1"/>
      <protection hidden="1"/>
    </xf>
    <xf numFmtId="0" fontId="36" fillId="0" borderId="6" xfId="0" applyFont="1" applyBorder="1" applyAlignment="1" applyProtection="1">
      <alignment horizontal="center" vertical="center" wrapText="1"/>
      <protection hidden="1"/>
    </xf>
    <xf numFmtId="0" fontId="32" fillId="0" borderId="27" xfId="0" applyFont="1" applyBorder="1" applyAlignment="1" applyProtection="1">
      <alignment horizontal="center" vertical="center" wrapText="1"/>
      <protection hidden="1"/>
    </xf>
    <xf numFmtId="0" fontId="32" fillId="0" borderId="24" xfId="0" applyFont="1" applyBorder="1" applyAlignment="1" applyProtection="1">
      <alignment horizontal="center" vertical="center" wrapText="1"/>
      <protection hidden="1"/>
    </xf>
    <xf numFmtId="0" fontId="45" fillId="0" borderId="30" xfId="0" applyFont="1" applyBorder="1" applyAlignment="1" applyProtection="1">
      <alignment horizontal="center" vertical="center" wrapText="1"/>
      <protection hidden="1"/>
    </xf>
    <xf numFmtId="169" fontId="36" fillId="2" borderId="6" xfId="3" applyNumberFormat="1" applyFont="1" applyFill="1" applyBorder="1" applyAlignment="1" applyProtection="1">
      <alignment horizontal="center" vertical="center"/>
      <protection hidden="1"/>
    </xf>
    <xf numFmtId="169" fontId="34" fillId="2" borderId="5" xfId="3" applyNumberFormat="1" applyFont="1" applyFill="1" applyBorder="1" applyAlignment="1" applyProtection="1">
      <alignment horizontal="center" vertical="center"/>
      <protection hidden="1"/>
    </xf>
    <xf numFmtId="169" fontId="34" fillId="2" borderId="6" xfId="3" applyNumberFormat="1" applyFont="1" applyFill="1" applyBorder="1" applyAlignment="1" applyProtection="1">
      <alignment horizontal="center" vertical="center"/>
      <protection hidden="1"/>
    </xf>
    <xf numFmtId="0" fontId="0" fillId="10" borderId="1" xfId="0" applyFill="1" applyBorder="1" applyAlignment="1" applyProtection="1">
      <alignment vertical="center"/>
      <protection hidden="1"/>
    </xf>
    <xf numFmtId="0" fontId="0" fillId="0" borderId="22" xfId="0" applyBorder="1" applyAlignment="1" applyProtection="1">
      <alignment vertical="center"/>
      <protection hidden="1"/>
    </xf>
    <xf numFmtId="4" fontId="40" fillId="7" borderId="14" xfId="0" applyNumberFormat="1" applyFont="1" applyFill="1" applyBorder="1" applyAlignment="1" applyProtection="1">
      <alignment vertical="center"/>
      <protection hidden="1"/>
    </xf>
    <xf numFmtId="0" fontId="40" fillId="7" borderId="15" xfId="0" applyFont="1" applyFill="1" applyBorder="1" applyAlignment="1" applyProtection="1">
      <alignment horizontal="center" vertical="center"/>
      <protection hidden="1"/>
    </xf>
    <xf numFmtId="0" fontId="41" fillId="0" borderId="17" xfId="0" applyFont="1" applyBorder="1" applyAlignment="1" applyProtection="1">
      <alignment horizontal="center" vertical="center" wrapText="1"/>
      <protection hidden="1"/>
    </xf>
    <xf numFmtId="170" fontId="40" fillId="8" borderId="20" xfId="0" applyNumberFormat="1" applyFont="1" applyFill="1" applyBorder="1" applyAlignment="1" applyProtection="1">
      <alignment vertical="center"/>
      <protection hidden="1"/>
    </xf>
    <xf numFmtId="0" fontId="41" fillId="0" borderId="21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45" fillId="0" borderId="23" xfId="0" applyFont="1" applyBorder="1" applyAlignment="1" applyProtection="1">
      <alignment vertical="center" wrapText="1"/>
      <protection hidden="1"/>
    </xf>
    <xf numFmtId="0" fontId="35" fillId="2" borderId="5" xfId="0" applyFont="1" applyFill="1" applyBorder="1" applyAlignment="1" applyProtection="1">
      <alignment vertical="center" wrapText="1"/>
      <protection hidden="1"/>
    </xf>
    <xf numFmtId="0" fontId="35" fillId="2" borderId="6" xfId="0" applyFont="1" applyFill="1" applyBorder="1" applyAlignment="1" applyProtection="1">
      <alignment vertical="center" wrapText="1"/>
      <protection hidden="1"/>
    </xf>
    <xf numFmtId="0" fontId="45" fillId="0" borderId="24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10" borderId="0" xfId="0" applyFill="1" applyAlignment="1" applyProtection="1">
      <alignment horizontal="center" vertical="center"/>
      <protection hidden="1"/>
    </xf>
    <xf numFmtId="0" fontId="0" fillId="10" borderId="0" xfId="0" applyFill="1" applyAlignment="1" applyProtection="1">
      <alignment vertical="center"/>
      <protection hidden="1"/>
    </xf>
    <xf numFmtId="0" fontId="46" fillId="0" borderId="0" xfId="0" applyFont="1" applyAlignment="1" applyProtection="1">
      <alignment vertical="center"/>
      <protection hidden="1"/>
    </xf>
    <xf numFmtId="0" fontId="36" fillId="2" borderId="5" xfId="0" applyFont="1" applyFill="1" applyBorder="1" applyAlignment="1" applyProtection="1">
      <alignment horizontal="center" vertical="center" wrapText="1"/>
      <protection hidden="1"/>
    </xf>
    <xf numFmtId="167" fontId="36" fillId="2" borderId="5" xfId="3" applyNumberFormat="1" applyFont="1" applyFill="1" applyBorder="1" applyAlignment="1" applyProtection="1">
      <alignment horizontal="center" vertical="center"/>
      <protection hidden="1"/>
    </xf>
    <xf numFmtId="0" fontId="37" fillId="9" borderId="5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Protection="1">
      <protection hidden="1"/>
    </xf>
    <xf numFmtId="0" fontId="32" fillId="9" borderId="5" xfId="0" applyFont="1" applyFill="1" applyBorder="1" applyAlignment="1" applyProtection="1">
      <alignment horizontal="center" vertical="center" wrapText="1"/>
      <protection locked="0" hidden="1"/>
    </xf>
    <xf numFmtId="0" fontId="34" fillId="9" borderId="5" xfId="0" applyFont="1" applyFill="1" applyBorder="1" applyAlignment="1" applyProtection="1">
      <alignment horizontal="center" vertical="center" wrapText="1"/>
      <protection locked="0" hidden="1"/>
    </xf>
    <xf numFmtId="0" fontId="32" fillId="9" borderId="6" xfId="0" applyFont="1" applyFill="1" applyBorder="1" applyAlignment="1" applyProtection="1">
      <alignment horizontal="center" vertical="center" wrapText="1"/>
      <protection locked="0" hidden="1"/>
    </xf>
    <xf numFmtId="171" fontId="34" fillId="2" borderId="5" xfId="3" applyNumberFormat="1" applyFont="1" applyFill="1" applyBorder="1" applyAlignment="1" applyProtection="1">
      <alignment horizontal="center" vertical="center"/>
      <protection hidden="1"/>
    </xf>
    <xf numFmtId="171" fontId="34" fillId="2" borderId="6" xfId="3" applyNumberFormat="1" applyFont="1" applyFill="1" applyBorder="1" applyAlignment="1" applyProtection="1">
      <alignment horizontal="center" vertical="center"/>
      <protection hidden="1"/>
    </xf>
    <xf numFmtId="0" fontId="46" fillId="8" borderId="0" xfId="0" applyFont="1" applyFill="1" applyAlignment="1" applyProtection="1">
      <alignment horizontal="right" vertical="center"/>
      <protection hidden="1"/>
    </xf>
    <xf numFmtId="0" fontId="46" fillId="8" borderId="0" xfId="0" applyFont="1" applyFill="1" applyAlignment="1" applyProtection="1">
      <alignment horizontal="right" vertical="center" wrapText="1"/>
      <protection hidden="1"/>
    </xf>
    <xf numFmtId="0" fontId="47" fillId="7" borderId="0" xfId="0" applyFont="1" applyFill="1" applyAlignment="1" applyProtection="1">
      <alignment horizontal="right" vertical="center"/>
      <protection hidden="1"/>
    </xf>
    <xf numFmtId="164" fontId="47" fillId="7" borderId="0" xfId="3" applyFont="1" applyFill="1" applyBorder="1" applyAlignment="1" applyProtection="1">
      <alignment vertical="center"/>
      <protection hidden="1"/>
    </xf>
    <xf numFmtId="0" fontId="39" fillId="10" borderId="0" xfId="0" applyFont="1" applyFill="1" applyAlignment="1" applyProtection="1">
      <alignment vertical="center"/>
      <protection hidden="1"/>
    </xf>
    <xf numFmtId="0" fontId="42" fillId="0" borderId="0" xfId="0" applyFont="1" applyAlignment="1" applyProtection="1">
      <alignment vertical="center"/>
      <protection hidden="1"/>
    </xf>
    <xf numFmtId="49" fontId="0" fillId="9" borderId="1" xfId="0" applyNumberFormat="1" applyFill="1" applyBorder="1" applyAlignment="1" applyProtection="1">
      <alignment vertical="center"/>
      <protection locked="0"/>
    </xf>
    <xf numFmtId="0" fontId="0" fillId="9" borderId="1" xfId="0" applyFill="1" applyBorder="1" applyAlignment="1" applyProtection="1">
      <alignment vertical="center"/>
      <protection locked="0" hidden="1"/>
    </xf>
    <xf numFmtId="49" fontId="0" fillId="9" borderId="1" xfId="0" applyNumberFormat="1" applyFill="1" applyBorder="1" applyAlignment="1" applyProtection="1">
      <alignment vertical="center"/>
      <protection locked="0" hidden="1"/>
    </xf>
    <xf numFmtId="0" fontId="43" fillId="0" borderId="0" xfId="0" applyFont="1" applyAlignment="1" applyProtection="1">
      <alignment vertical="center"/>
      <protection hidden="1"/>
    </xf>
    <xf numFmtId="0" fontId="39" fillId="10" borderId="0" xfId="0" applyFont="1" applyFill="1" applyAlignment="1" applyProtection="1">
      <alignment horizontal="center" vertical="center"/>
      <protection hidden="1"/>
    </xf>
    <xf numFmtId="169" fontId="32" fillId="0" borderId="0" xfId="3" applyNumberFormat="1" applyFont="1" applyFill="1" applyBorder="1" applyAlignment="1" applyProtection="1">
      <alignment horizontal="center" vertical="center"/>
      <protection locked="0" hidden="1"/>
    </xf>
    <xf numFmtId="172" fontId="49" fillId="8" borderId="6" xfId="3" applyNumberFormat="1" applyFont="1" applyFill="1" applyBorder="1" applyAlignment="1" applyProtection="1">
      <alignment horizontal="center" vertical="center"/>
      <protection hidden="1"/>
    </xf>
    <xf numFmtId="169" fontId="0" fillId="0" borderId="0" xfId="0" applyNumberFormat="1" applyAlignment="1">
      <alignment vertical="center"/>
    </xf>
    <xf numFmtId="172" fontId="0" fillId="0" borderId="0" xfId="0" applyNumberFormat="1" applyAlignment="1">
      <alignment vertical="center"/>
    </xf>
    <xf numFmtId="169" fontId="46" fillId="8" borderId="0" xfId="0" applyNumberFormat="1" applyFont="1" applyFill="1" applyAlignment="1" applyProtection="1">
      <alignment vertical="center"/>
      <protection hidden="1"/>
    </xf>
    <xf numFmtId="2" fontId="0" fillId="0" borderId="0" xfId="0" applyNumberFormat="1" applyAlignment="1">
      <alignment vertical="center"/>
    </xf>
    <xf numFmtId="169" fontId="0" fillId="0" borderId="0" xfId="0" applyNumberFormat="1" applyAlignment="1" applyProtection="1">
      <alignment vertical="center"/>
      <protection hidden="1"/>
    </xf>
    <xf numFmtId="166" fontId="0" fillId="0" borderId="0" xfId="0" applyNumberFormat="1" applyAlignment="1" applyProtection="1">
      <alignment vertical="center"/>
      <protection hidden="1"/>
    </xf>
    <xf numFmtId="4" fontId="0" fillId="0" borderId="0" xfId="0" applyNumberFormat="1" applyAlignment="1" applyProtection="1">
      <alignment vertical="center"/>
      <protection hidden="1"/>
    </xf>
    <xf numFmtId="166" fontId="39" fillId="0" borderId="0" xfId="0" applyNumberFormat="1" applyFont="1" applyAlignment="1" applyProtection="1">
      <alignment vertical="center"/>
      <protection hidden="1"/>
    </xf>
    <xf numFmtId="2" fontId="39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2" fontId="39" fillId="0" borderId="0" xfId="0" applyNumberFormat="1" applyFont="1" applyAlignment="1" applyProtection="1">
      <alignment vertical="center"/>
      <protection hidden="1"/>
    </xf>
    <xf numFmtId="173" fontId="40" fillId="8" borderId="5" xfId="0" applyNumberFormat="1" applyFont="1" applyFill="1" applyBorder="1" applyAlignment="1" applyProtection="1">
      <alignment vertical="center"/>
      <protection hidden="1"/>
    </xf>
    <xf numFmtId="172" fontId="36" fillId="2" borderId="5" xfId="3" applyNumberFormat="1" applyFont="1" applyFill="1" applyBorder="1" applyAlignment="1" applyProtection="1">
      <alignment horizontal="center" vertical="center"/>
      <protection hidden="1"/>
    </xf>
    <xf numFmtId="172" fontId="36" fillId="2" borderId="6" xfId="3" applyNumberFormat="1" applyFont="1" applyFill="1" applyBorder="1" applyAlignment="1" applyProtection="1">
      <alignment horizontal="center" vertical="center"/>
      <protection hidden="1"/>
    </xf>
    <xf numFmtId="172" fontId="39" fillId="0" borderId="0" xfId="0" applyNumberFormat="1" applyFont="1" applyAlignment="1" applyProtection="1">
      <alignment vertical="center"/>
      <protection hidden="1"/>
    </xf>
    <xf numFmtId="2" fontId="0" fillId="0" borderId="0" xfId="0" applyNumberFormat="1" applyAlignment="1" applyProtection="1">
      <alignment vertical="center"/>
      <protection hidden="1"/>
    </xf>
    <xf numFmtId="169" fontId="39" fillId="0" borderId="0" xfId="0" applyNumberFormat="1" applyFont="1" applyAlignment="1" applyProtection="1">
      <alignment vertical="center"/>
      <protection hidden="1"/>
    </xf>
    <xf numFmtId="166" fontId="0" fillId="11" borderId="0" xfId="0" applyNumberFormat="1" applyFill="1" applyAlignment="1" applyProtection="1">
      <alignment vertical="center"/>
      <protection hidden="1"/>
    </xf>
    <xf numFmtId="0" fontId="32" fillId="0" borderId="6" xfId="0" applyFont="1" applyBorder="1" applyAlignment="1" applyProtection="1">
      <alignment horizontal="center" vertical="center" wrapText="1"/>
      <protection hidden="1"/>
    </xf>
    <xf numFmtId="0" fontId="6" fillId="0" borderId="0" xfId="1"/>
    <xf numFmtId="169" fontId="6" fillId="0" borderId="0" xfId="1" applyNumberFormat="1"/>
    <xf numFmtId="0" fontId="0" fillId="0" borderId="16" xfId="0" applyBorder="1"/>
    <xf numFmtId="0" fontId="0" fillId="0" borderId="38" xfId="0" applyBorder="1"/>
    <xf numFmtId="0" fontId="6" fillId="0" borderId="38" xfId="1" applyBorder="1"/>
    <xf numFmtId="0" fontId="0" fillId="0" borderId="18" xfId="0" applyBorder="1"/>
    <xf numFmtId="0" fontId="0" fillId="0" borderId="19" xfId="0" applyBorder="1"/>
    <xf numFmtId="0" fontId="0" fillId="0" borderId="39" xfId="0" applyBorder="1"/>
    <xf numFmtId="0" fontId="53" fillId="0" borderId="18" xfId="5" applyFont="1" applyBorder="1" applyAlignment="1">
      <alignment horizontal="left" vertical="center" wrapText="1"/>
    </xf>
    <xf numFmtId="166" fontId="53" fillId="0" borderId="0" xfId="2" applyNumberFormat="1" applyFont="1" applyFill="1" applyBorder="1" applyAlignment="1" applyProtection="1">
      <alignment horizontal="center" vertical="center"/>
      <protection hidden="1"/>
    </xf>
    <xf numFmtId="0" fontId="32" fillId="2" borderId="5" xfId="0" applyFont="1" applyFill="1" applyBorder="1" applyAlignment="1" applyProtection="1">
      <alignment horizontal="center" vertical="center" wrapText="1"/>
      <protection hidden="1"/>
    </xf>
    <xf numFmtId="167" fontId="32" fillId="2" borderId="5" xfId="3" applyNumberFormat="1" applyFont="1" applyFill="1" applyBorder="1" applyAlignment="1" applyProtection="1">
      <alignment horizontal="center" vertical="center"/>
      <protection hidden="1"/>
    </xf>
    <xf numFmtId="0" fontId="32" fillId="10" borderId="5" xfId="0" applyFont="1" applyFill="1" applyBorder="1" applyAlignment="1" applyProtection="1">
      <alignment horizontal="center" vertical="center" wrapText="1"/>
      <protection hidden="1"/>
    </xf>
    <xf numFmtId="0" fontId="0" fillId="0" borderId="11" xfId="0" applyBorder="1"/>
    <xf numFmtId="0" fontId="0" fillId="0" borderId="37" xfId="0" applyBorder="1"/>
    <xf numFmtId="0" fontId="0" fillId="12" borderId="11" xfId="0" applyFill="1" applyBorder="1"/>
    <xf numFmtId="0" fontId="0" fillId="12" borderId="37" xfId="0" applyFill="1" applyBorder="1"/>
    <xf numFmtId="0" fontId="0" fillId="12" borderId="0" xfId="0" applyFill="1"/>
    <xf numFmtId="0" fontId="0" fillId="12" borderId="38" xfId="0" applyFill="1" applyBorder="1"/>
    <xf numFmtId="0" fontId="53" fillId="4" borderId="33" xfId="5" applyFont="1" applyFill="1" applyBorder="1" applyAlignment="1">
      <alignment horizontal="left" vertical="center" wrapText="1"/>
    </xf>
    <xf numFmtId="166" fontId="53" fillId="4" borderId="34" xfId="2" applyNumberFormat="1" applyFont="1" applyFill="1" applyBorder="1" applyAlignment="1" applyProtection="1">
      <alignment horizontal="center" vertical="center"/>
      <protection hidden="1"/>
    </xf>
    <xf numFmtId="166" fontId="53" fillId="4" borderId="15" xfId="2" applyNumberFormat="1" applyFont="1" applyFill="1" applyBorder="1" applyAlignment="1" applyProtection="1">
      <alignment horizontal="center" vertical="center"/>
      <protection hidden="1"/>
    </xf>
    <xf numFmtId="0" fontId="53" fillId="4" borderId="35" xfId="5" applyFont="1" applyFill="1" applyBorder="1" applyAlignment="1">
      <alignment horizontal="left" vertical="center" wrapText="1"/>
    </xf>
    <xf numFmtId="166" fontId="53" fillId="4" borderId="36" xfId="2" applyNumberFormat="1" applyFont="1" applyFill="1" applyBorder="1" applyAlignment="1" applyProtection="1">
      <alignment horizontal="center" vertical="center"/>
      <protection hidden="1"/>
    </xf>
    <xf numFmtId="166" fontId="53" fillId="4" borderId="21" xfId="2" applyNumberFormat="1" applyFont="1" applyFill="1" applyBorder="1" applyAlignment="1" applyProtection="1">
      <alignment horizontal="center" vertical="center"/>
      <protection hidden="1"/>
    </xf>
    <xf numFmtId="0" fontId="14" fillId="2" borderId="11" xfId="0" applyFont="1" applyFill="1" applyBorder="1" applyAlignment="1">
      <alignment wrapText="1"/>
    </xf>
    <xf numFmtId="0" fontId="14" fillId="2" borderId="11" xfId="0" applyFont="1" applyFill="1" applyBorder="1"/>
    <xf numFmtId="0" fontId="0" fillId="2" borderId="11" xfId="0" applyFill="1" applyBorder="1"/>
    <xf numFmtId="0" fontId="0" fillId="2" borderId="37" xfId="0" applyFill="1" applyBorder="1"/>
    <xf numFmtId="0" fontId="14" fillId="13" borderId="19" xfId="0" applyFont="1" applyFill="1" applyBorder="1"/>
    <xf numFmtId="0" fontId="0" fillId="13" borderId="19" xfId="0" applyFill="1" applyBorder="1"/>
    <xf numFmtId="0" fontId="0" fillId="13" borderId="39" xfId="0" applyFill="1" applyBorder="1"/>
    <xf numFmtId="0" fontId="7" fillId="0" borderId="0" xfId="0" applyFont="1" applyProtection="1">
      <protection hidden="1"/>
    </xf>
    <xf numFmtId="0" fontId="11" fillId="12" borderId="12" xfId="0" applyFont="1" applyFill="1" applyBorder="1"/>
    <xf numFmtId="0" fontId="7" fillId="0" borderId="18" xfId="0" applyFont="1" applyBorder="1" applyProtection="1">
      <protection hidden="1"/>
    </xf>
    <xf numFmtId="0" fontId="3" fillId="0" borderId="19" xfId="0" applyFont="1" applyBorder="1" applyProtection="1">
      <protection hidden="1"/>
    </xf>
    <xf numFmtId="0" fontId="7" fillId="0" borderId="19" xfId="0" applyFont="1" applyBorder="1" applyProtection="1">
      <protection hidden="1"/>
    </xf>
    <xf numFmtId="0" fontId="0" fillId="4" borderId="0" xfId="0" applyFill="1"/>
    <xf numFmtId="0" fontId="0" fillId="0" borderId="12" xfId="0" applyBorder="1"/>
    <xf numFmtId="49" fontId="7" fillId="0" borderId="16" xfId="0" applyNumberFormat="1" applyFont="1" applyBorder="1" applyAlignment="1">
      <alignment horizontal="right"/>
    </xf>
    <xf numFmtId="49" fontId="7" fillId="4" borderId="16" xfId="0" applyNumberFormat="1" applyFont="1" applyFill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right"/>
    </xf>
    <xf numFmtId="49" fontId="7" fillId="12" borderId="16" xfId="0" applyNumberFormat="1" applyFont="1" applyFill="1" applyBorder="1" applyProtection="1">
      <protection hidden="1"/>
    </xf>
    <xf numFmtId="0" fontId="3" fillId="12" borderId="0" xfId="0" applyFont="1" applyFill="1" applyProtection="1">
      <protection hidden="1"/>
    </xf>
    <xf numFmtId="0" fontId="7" fillId="12" borderId="0" xfId="0" applyFont="1" applyFill="1" applyProtection="1">
      <protection hidden="1"/>
    </xf>
    <xf numFmtId="0" fontId="7" fillId="12" borderId="16" xfId="0" applyFont="1" applyFill="1" applyBorder="1" applyProtection="1">
      <protection hidden="1"/>
    </xf>
    <xf numFmtId="49" fontId="7" fillId="0" borderId="12" xfId="0" applyNumberFormat="1" applyFont="1" applyBorder="1" applyAlignment="1">
      <alignment horizontal="right"/>
    </xf>
    <xf numFmtId="0" fontId="7" fillId="0" borderId="11" xfId="0" applyFont="1" applyBorder="1" applyProtection="1">
      <protection hidden="1"/>
    </xf>
    <xf numFmtId="0" fontId="0" fillId="14" borderId="16" xfId="0" applyFill="1" applyBorder="1"/>
    <xf numFmtId="0" fontId="7" fillId="14" borderId="0" xfId="0" applyFont="1" applyFill="1" applyProtection="1">
      <protection hidden="1"/>
    </xf>
    <xf numFmtId="0" fontId="0" fillId="14" borderId="0" xfId="0" applyFill="1"/>
    <xf numFmtId="0" fontId="14" fillId="4" borderId="0" xfId="0" applyFont="1" applyFill="1"/>
    <xf numFmtId="0" fontId="3" fillId="0" borderId="0" xfId="0" applyFont="1" applyProtection="1">
      <protection hidden="1"/>
    </xf>
    <xf numFmtId="0" fontId="57" fillId="0" borderId="0" xfId="11" applyFont="1" applyProtection="1">
      <protection hidden="1"/>
    </xf>
    <xf numFmtId="0" fontId="3" fillId="0" borderId="0" xfId="11" applyProtection="1">
      <protection hidden="1"/>
    </xf>
    <xf numFmtId="49" fontId="7" fillId="14" borderId="16" xfId="0" applyNumberFormat="1" applyFont="1" applyFill="1" applyBorder="1" applyAlignment="1">
      <alignment horizontal="right"/>
    </xf>
    <xf numFmtId="0" fontId="53" fillId="15" borderId="33" xfId="5" applyFont="1" applyFill="1" applyBorder="1" applyAlignment="1">
      <alignment horizontal="left" vertical="center" wrapText="1"/>
    </xf>
    <xf numFmtId="166" fontId="53" fillId="15" borderId="34" xfId="2" applyNumberFormat="1" applyFont="1" applyFill="1" applyBorder="1" applyAlignment="1" applyProtection="1">
      <alignment horizontal="center" vertical="center"/>
      <protection hidden="1"/>
    </xf>
    <xf numFmtId="166" fontId="53" fillId="15" borderId="15" xfId="2" applyNumberFormat="1" applyFont="1" applyFill="1" applyBorder="1" applyAlignment="1" applyProtection="1">
      <alignment horizontal="center" vertical="center"/>
      <protection hidden="1"/>
    </xf>
    <xf numFmtId="0" fontId="53" fillId="15" borderId="35" xfId="5" applyFont="1" applyFill="1" applyBorder="1" applyAlignment="1">
      <alignment horizontal="left" vertical="center" wrapText="1"/>
    </xf>
    <xf numFmtId="166" fontId="53" fillId="15" borderId="36" xfId="2" applyNumberFormat="1" applyFont="1" applyFill="1" applyBorder="1" applyAlignment="1" applyProtection="1">
      <alignment horizontal="center" vertical="center"/>
      <protection hidden="1"/>
    </xf>
    <xf numFmtId="0" fontId="53" fillId="15" borderId="2" xfId="5" applyFont="1" applyFill="1" applyBorder="1" applyAlignment="1">
      <alignment horizontal="left" vertical="center" wrapText="1"/>
    </xf>
    <xf numFmtId="166" fontId="53" fillId="15" borderId="25" xfId="2" applyNumberFormat="1" applyFont="1" applyFill="1" applyBorder="1" applyAlignment="1" applyProtection="1">
      <alignment horizontal="center" vertical="center"/>
      <protection hidden="1"/>
    </xf>
    <xf numFmtId="0" fontId="52" fillId="13" borderId="18" xfId="0" applyFont="1" applyFill="1" applyBorder="1" applyAlignment="1">
      <alignment horizontal="left" vertical="top"/>
    </xf>
    <xf numFmtId="0" fontId="58" fillId="13" borderId="19" xfId="0" applyFont="1" applyFill="1" applyBorder="1" applyProtection="1">
      <protection locked="0" hidden="1"/>
    </xf>
    <xf numFmtId="174" fontId="53" fillId="15" borderId="23" xfId="2" applyNumberFormat="1" applyFont="1" applyFill="1" applyBorder="1" applyAlignment="1" applyProtection="1">
      <alignment horizontal="center" vertical="center"/>
      <protection hidden="1"/>
    </xf>
    <xf numFmtId="0" fontId="2" fillId="0" borderId="0" xfId="12"/>
    <xf numFmtId="0" fontId="11" fillId="3" borderId="0" xfId="12" applyFont="1" applyFill="1"/>
    <xf numFmtId="0" fontId="2" fillId="3" borderId="0" xfId="12" applyFill="1"/>
    <xf numFmtId="0" fontId="7" fillId="0" borderId="0" xfId="12" applyFont="1"/>
    <xf numFmtId="0" fontId="2" fillId="4" borderId="1" xfId="12" applyFill="1" applyBorder="1" applyProtection="1">
      <protection locked="0"/>
    </xf>
    <xf numFmtId="0" fontId="8" fillId="4" borderId="1" xfId="12" applyFont="1" applyFill="1" applyBorder="1" applyAlignment="1" applyProtection="1">
      <alignment horizontal="right"/>
      <protection locked="0"/>
    </xf>
    <xf numFmtId="0" fontId="9" fillId="0" borderId="0" xfId="12" applyFont="1"/>
    <xf numFmtId="0" fontId="8" fillId="0" borderId="0" xfId="12" applyFont="1" applyAlignment="1">
      <alignment horizontal="right"/>
    </xf>
    <xf numFmtId="49" fontId="15" fillId="3" borderId="0" xfId="12" applyNumberFormat="1" applyFont="1" applyFill="1" applyAlignment="1">
      <alignment horizontal="left" vertical="center"/>
    </xf>
    <xf numFmtId="49" fontId="15" fillId="3" borderId="0" xfId="12" applyNumberFormat="1" applyFont="1" applyFill="1" applyAlignment="1">
      <alignment horizontal="center" vertical="center"/>
    </xf>
    <xf numFmtId="49" fontId="13" fillId="3" borderId="0" xfId="12" applyNumberFormat="1" applyFont="1" applyFill="1" applyAlignment="1">
      <alignment horizontal="center"/>
    </xf>
    <xf numFmtId="49" fontId="7" fillId="0" borderId="0" xfId="12" applyNumberFormat="1" applyFont="1" applyAlignment="1">
      <alignment horizontal="center"/>
    </xf>
    <xf numFmtId="0" fontId="2" fillId="0" borderId="0" xfId="12" applyAlignment="1">
      <alignment horizontal="left" vertical="top" wrapText="1"/>
    </xf>
    <xf numFmtId="0" fontId="14" fillId="0" borderId="0" xfId="12" applyFont="1"/>
    <xf numFmtId="0" fontId="16" fillId="0" borderId="0" xfId="12" applyFont="1" applyAlignment="1">
      <alignment horizontal="right"/>
    </xf>
    <xf numFmtId="0" fontId="14" fillId="4" borderId="1" xfId="12" applyFont="1" applyFill="1" applyBorder="1" applyProtection="1">
      <protection locked="0"/>
    </xf>
    <xf numFmtId="0" fontId="17" fillId="0" borderId="0" xfId="12" applyFont="1"/>
    <xf numFmtId="0" fontId="13" fillId="3" borderId="0" xfId="12" applyFont="1" applyFill="1"/>
    <xf numFmtId="0" fontId="2" fillId="4" borderId="0" xfId="12" applyFill="1" applyAlignment="1" applyProtection="1">
      <alignment vertical="center"/>
      <protection locked="0"/>
    </xf>
    <xf numFmtId="0" fontId="2" fillId="0" borderId="0" xfId="12" applyAlignment="1" applyProtection="1">
      <alignment vertical="center"/>
      <protection locked="0"/>
    </xf>
    <xf numFmtId="0" fontId="57" fillId="0" borderId="0" xfId="12" applyFont="1" applyAlignment="1">
      <alignment vertical="center"/>
    </xf>
    <xf numFmtId="0" fontId="7" fillId="12" borderId="28" xfId="0" applyFont="1" applyFill="1" applyBorder="1" applyAlignment="1">
      <alignment horizontal="center"/>
    </xf>
    <xf numFmtId="0" fontId="0" fillId="12" borderId="40" xfId="0" applyFill="1" applyBorder="1" applyAlignment="1">
      <alignment horizontal="center"/>
    </xf>
    <xf numFmtId="4" fontId="0" fillId="0" borderId="40" xfId="0" applyNumberFormat="1" applyBorder="1" applyAlignment="1" applyProtection="1">
      <alignment horizontal="center"/>
      <protection locked="0"/>
    </xf>
    <xf numFmtId="4" fontId="0" fillId="0" borderId="17" xfId="0" applyNumberFormat="1" applyBorder="1" applyAlignment="1" applyProtection="1">
      <alignment horizontal="center"/>
      <protection locked="0"/>
    </xf>
    <xf numFmtId="0" fontId="7" fillId="12" borderId="13" xfId="0" applyFont="1" applyFill="1" applyBorder="1" applyAlignment="1">
      <alignment horizontal="center"/>
    </xf>
    <xf numFmtId="0" fontId="0" fillId="12" borderId="41" xfId="0" applyFill="1" applyBorder="1" applyAlignment="1">
      <alignment horizontal="center"/>
    </xf>
    <xf numFmtId="49" fontId="0" fillId="0" borderId="42" xfId="0" applyNumberFormat="1" applyBorder="1"/>
    <xf numFmtId="49" fontId="11" fillId="12" borderId="35" xfId="0" applyNumberFormat="1" applyFont="1" applyFill="1" applyBorder="1"/>
    <xf numFmtId="4" fontId="11" fillId="12" borderId="36" xfId="0" applyNumberFormat="1" applyFont="1" applyFill="1" applyBorder="1" applyAlignment="1" applyProtection="1">
      <alignment horizontal="center"/>
      <protection hidden="1"/>
    </xf>
    <xf numFmtId="4" fontId="11" fillId="12" borderId="21" xfId="0" applyNumberFormat="1" applyFont="1" applyFill="1" applyBorder="1" applyAlignment="1" applyProtection="1">
      <alignment horizontal="center"/>
      <protection hidden="1"/>
    </xf>
    <xf numFmtId="0" fontId="52" fillId="13" borderId="16" xfId="0" applyFont="1" applyFill="1" applyBorder="1" applyAlignment="1">
      <alignment horizontal="left" vertical="top"/>
    </xf>
    <xf numFmtId="0" fontId="58" fillId="13" borderId="0" xfId="0" applyFont="1" applyFill="1" applyProtection="1">
      <protection locked="0" hidden="1"/>
    </xf>
    <xf numFmtId="0" fontId="14" fillId="13" borderId="0" xfId="0" applyFont="1" applyFill="1"/>
    <xf numFmtId="0" fontId="0" fillId="13" borderId="0" xfId="0" applyFill="1"/>
    <xf numFmtId="0" fontId="0" fillId="13" borderId="38" xfId="0" applyFill="1" applyBorder="1"/>
    <xf numFmtId="0" fontId="50" fillId="0" borderId="0" xfId="5" applyFont="1" applyAlignment="1">
      <alignment horizontal="left"/>
    </xf>
    <xf numFmtId="0" fontId="51" fillId="0" borderId="0" xfId="1" applyFont="1" applyAlignment="1" applyProtection="1">
      <alignment horizontal="center" vertical="center"/>
      <protection hidden="1"/>
    </xf>
    <xf numFmtId="0" fontId="1" fillId="12" borderId="0" xfId="0" applyFont="1" applyFill="1" applyProtection="1">
      <protection hidden="1"/>
    </xf>
    <xf numFmtId="166" fontId="53" fillId="15" borderId="43" xfId="2" applyNumberFormat="1" applyFont="1" applyFill="1" applyBorder="1" applyAlignment="1" applyProtection="1">
      <alignment horizontal="center" vertical="center"/>
      <protection hidden="1"/>
    </xf>
    <xf numFmtId="0" fontId="60" fillId="2" borderId="12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0" fontId="11" fillId="3" borderId="0" xfId="0" applyFont="1" applyFill="1"/>
    <xf numFmtId="0" fontId="0" fillId="4" borderId="2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7" fillId="4" borderId="2" xfId="0" applyFont="1" applyFill="1" applyBorder="1" applyAlignment="1" applyProtection="1">
      <alignment horizontal="left"/>
      <protection locked="0"/>
    </xf>
    <xf numFmtId="0" fontId="7" fillId="4" borderId="3" xfId="0" applyFont="1" applyFill="1" applyBorder="1" applyAlignment="1" applyProtection="1">
      <alignment horizontal="left"/>
      <protection locked="0"/>
    </xf>
    <xf numFmtId="0" fontId="7" fillId="4" borderId="4" xfId="0" applyFont="1" applyFill="1" applyBorder="1" applyAlignment="1" applyProtection="1">
      <alignment horizontal="left"/>
      <protection locked="0"/>
    </xf>
    <xf numFmtId="0" fontId="14" fillId="4" borderId="2" xfId="0" applyFont="1" applyFill="1" applyBorder="1" applyAlignment="1" applyProtection="1">
      <alignment horizontal="left"/>
      <protection locked="0"/>
    </xf>
    <xf numFmtId="0" fontId="14" fillId="4" borderId="3" xfId="0" applyFont="1" applyFill="1" applyBorder="1" applyAlignment="1" applyProtection="1">
      <alignment horizontal="left"/>
      <protection locked="0"/>
    </xf>
    <xf numFmtId="0" fontId="14" fillId="4" borderId="4" xfId="0" applyFont="1" applyFill="1" applyBorder="1" applyAlignment="1" applyProtection="1">
      <alignment horizontal="left"/>
      <protection locked="0"/>
    </xf>
    <xf numFmtId="0" fontId="18" fillId="0" borderId="0" xfId="12" applyFont="1" applyAlignment="1">
      <alignment horizontal="left" vertical="center" wrapText="1"/>
    </xf>
    <xf numFmtId="0" fontId="11" fillId="2" borderId="2" xfId="12" applyFont="1" applyFill="1" applyBorder="1" applyAlignment="1">
      <alignment horizontal="center" vertical="center" wrapText="1"/>
    </xf>
    <xf numFmtId="0" fontId="11" fillId="2" borderId="3" xfId="12" applyFont="1" applyFill="1" applyBorder="1" applyAlignment="1">
      <alignment horizontal="center" vertical="center" wrapText="1"/>
    </xf>
    <xf numFmtId="0" fontId="11" fillId="2" borderId="4" xfId="12" applyFont="1" applyFill="1" applyBorder="1" applyAlignment="1">
      <alignment horizontal="center" vertical="center" wrapText="1"/>
    </xf>
    <xf numFmtId="0" fontId="2" fillId="4" borderId="2" xfId="12" applyFill="1" applyBorder="1" applyAlignment="1" applyProtection="1">
      <alignment horizontal="center"/>
      <protection locked="0"/>
    </xf>
    <xf numFmtId="0" fontId="2" fillId="4" borderId="3" xfId="12" applyFill="1" applyBorder="1" applyAlignment="1" applyProtection="1">
      <alignment horizontal="center"/>
      <protection locked="0"/>
    </xf>
    <xf numFmtId="0" fontId="2" fillId="4" borderId="4" xfId="12" applyFill="1" applyBorder="1" applyAlignment="1" applyProtection="1">
      <alignment horizontal="center"/>
      <protection locked="0"/>
    </xf>
    <xf numFmtId="0" fontId="59" fillId="4" borderId="2" xfId="13" applyFill="1" applyBorder="1" applyAlignment="1" applyProtection="1">
      <alignment horizontal="left"/>
      <protection locked="0"/>
    </xf>
    <xf numFmtId="0" fontId="59" fillId="4" borderId="4" xfId="13" applyFill="1" applyBorder="1" applyAlignment="1" applyProtection="1">
      <alignment horizontal="left"/>
      <protection locked="0"/>
    </xf>
    <xf numFmtId="0" fontId="14" fillId="0" borderId="0" xfId="12" applyFont="1" applyAlignment="1">
      <alignment horizontal="left" vertical="center" wrapText="1"/>
    </xf>
    <xf numFmtId="0" fontId="10" fillId="0" borderId="0" xfId="12" applyFont="1" applyAlignment="1">
      <alignment horizontal="left" vertical="center" wrapText="1"/>
    </xf>
    <xf numFmtId="0" fontId="7" fillId="12" borderId="33" xfId="0" applyFont="1" applyFill="1" applyBorder="1" applyAlignment="1">
      <alignment horizontal="left" vertical="center" wrapText="1"/>
    </xf>
    <xf numFmtId="0" fontId="7" fillId="12" borderId="42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38" xfId="1" applyFont="1" applyBorder="1" applyAlignment="1">
      <alignment horizontal="left" vertical="center"/>
    </xf>
    <xf numFmtId="169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4" fontId="40" fillId="7" borderId="0" xfId="0" applyNumberFormat="1" applyFont="1" applyFill="1" applyAlignment="1" applyProtection="1">
      <alignment horizontal="center" vertical="center" wrapText="1"/>
      <protection hidden="1"/>
    </xf>
    <xf numFmtId="4" fontId="40" fillId="7" borderId="9" xfId="0" applyNumberFormat="1" applyFont="1" applyFill="1" applyBorder="1" applyAlignment="1" applyProtection="1">
      <alignment horizontal="center" vertical="center" wrapText="1"/>
      <protection hidden="1"/>
    </xf>
    <xf numFmtId="0" fontId="32" fillId="0" borderId="5" xfId="0" applyFont="1" applyBorder="1" applyAlignment="1" applyProtection="1">
      <alignment horizontal="left" vertical="center" wrapText="1"/>
      <protection hidden="1"/>
    </xf>
    <xf numFmtId="0" fontId="32" fillId="0" borderId="5" xfId="0" applyFont="1" applyBorder="1" applyAlignment="1" applyProtection="1">
      <alignment horizontal="center" vertical="center" wrapText="1"/>
      <protection hidden="1"/>
    </xf>
    <xf numFmtId="4" fontId="40" fillId="8" borderId="0" xfId="0" applyNumberFormat="1" applyFont="1" applyFill="1" applyAlignment="1" applyProtection="1">
      <alignment horizontal="center" vertical="center"/>
      <protection hidden="1"/>
    </xf>
    <xf numFmtId="4" fontId="40" fillId="8" borderId="9" xfId="0" applyNumberFormat="1" applyFont="1" applyFill="1" applyBorder="1" applyAlignment="1" applyProtection="1">
      <alignment horizontal="center" vertical="center"/>
      <protection hidden="1"/>
    </xf>
    <xf numFmtId="0" fontId="32" fillId="0" borderId="6" xfId="0" applyFont="1" applyBorder="1" applyAlignment="1" applyProtection="1">
      <alignment horizontal="left" vertical="center" wrapText="1"/>
      <protection hidden="1"/>
    </xf>
    <xf numFmtId="0" fontId="32" fillId="0" borderId="8" xfId="0" applyFont="1" applyBorder="1" applyAlignment="1" applyProtection="1">
      <alignment horizontal="left" vertical="center" wrapText="1"/>
      <protection hidden="1"/>
    </xf>
    <xf numFmtId="0" fontId="32" fillId="0" borderId="7" xfId="0" applyFont="1" applyBorder="1" applyAlignment="1" applyProtection="1">
      <alignment horizontal="left" vertical="center" wrapText="1"/>
      <protection hidden="1"/>
    </xf>
    <xf numFmtId="0" fontId="32" fillId="0" borderId="6" xfId="0" applyFont="1" applyBorder="1" applyAlignment="1" applyProtection="1">
      <alignment horizontal="center" vertical="center" wrapText="1"/>
      <protection hidden="1"/>
    </xf>
    <xf numFmtId="0" fontId="32" fillId="0" borderId="8" xfId="0" applyFont="1" applyBorder="1" applyAlignment="1" applyProtection="1">
      <alignment horizontal="center" vertical="center" wrapText="1"/>
      <protection hidden="1"/>
    </xf>
    <xf numFmtId="0" fontId="32" fillId="0" borderId="7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34" fillId="0" borderId="5" xfId="0" applyFont="1" applyBorder="1" applyAlignment="1" applyProtection="1">
      <alignment horizontal="left" vertical="center" wrapText="1"/>
      <protection hidden="1"/>
    </xf>
    <xf numFmtId="0" fontId="34" fillId="0" borderId="5" xfId="0" applyFont="1" applyBorder="1" applyAlignment="1" applyProtection="1">
      <alignment horizontal="center" vertical="center" wrapText="1"/>
      <protection hidden="1"/>
    </xf>
    <xf numFmtId="169" fontId="34" fillId="9" borderId="5" xfId="3" applyNumberFormat="1" applyFont="1" applyFill="1" applyBorder="1" applyAlignment="1" applyProtection="1">
      <alignment horizontal="center" vertical="center"/>
      <protection locked="0" hidden="1"/>
    </xf>
    <xf numFmtId="0" fontId="35" fillId="2" borderId="5" xfId="0" applyFont="1" applyFill="1" applyBorder="1" applyAlignment="1" applyProtection="1">
      <alignment horizontal="left" vertical="center" wrapText="1"/>
      <protection hidden="1"/>
    </xf>
    <xf numFmtId="0" fontId="35" fillId="2" borderId="5" xfId="0" applyFont="1" applyFill="1" applyBorder="1" applyAlignment="1" applyProtection="1">
      <alignment horizontal="center" vertical="center" wrapText="1"/>
      <protection hidden="1"/>
    </xf>
    <xf numFmtId="0" fontId="61" fillId="2" borderId="5" xfId="0" applyFont="1" applyFill="1" applyBorder="1" applyAlignment="1" applyProtection="1">
      <alignment horizontal="center" vertical="center"/>
      <protection hidden="1"/>
    </xf>
    <xf numFmtId="0" fontId="61" fillId="2" borderId="10" xfId="0" applyFont="1" applyFill="1" applyBorder="1" applyAlignment="1" applyProtection="1">
      <alignment horizontal="center" vertical="center"/>
      <protection hidden="1"/>
    </xf>
    <xf numFmtId="0" fontId="32" fillId="9" borderId="5" xfId="0" applyFont="1" applyFill="1" applyBorder="1" applyAlignment="1" applyProtection="1">
      <alignment vertical="center" wrapText="1"/>
      <protection locked="0"/>
    </xf>
    <xf numFmtId="169" fontId="32" fillId="9" borderId="6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8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7" xfId="3" applyNumberFormat="1" applyFont="1" applyFill="1" applyBorder="1" applyAlignment="1" applyProtection="1">
      <alignment horizontal="center" vertical="center"/>
      <protection locked="0" hidden="1"/>
    </xf>
    <xf numFmtId="0" fontId="61" fillId="2" borderId="5" xfId="0" applyFont="1" applyFill="1" applyBorder="1" applyAlignment="1">
      <alignment horizontal="center" vertical="center"/>
    </xf>
    <xf numFmtId="4" fontId="40" fillId="8" borderId="16" xfId="0" applyNumberFormat="1" applyFont="1" applyFill="1" applyBorder="1" applyAlignment="1" applyProtection="1">
      <alignment horizontal="center" vertical="center"/>
      <protection hidden="1"/>
    </xf>
    <xf numFmtId="4" fontId="40" fillId="7" borderId="12" xfId="0" applyNumberFormat="1" applyFont="1" applyFill="1" applyBorder="1" applyAlignment="1" applyProtection="1">
      <alignment horizontal="center" vertical="center"/>
      <protection hidden="1"/>
    </xf>
    <xf numFmtId="4" fontId="40" fillId="7" borderId="11" xfId="0" applyNumberFormat="1" applyFont="1" applyFill="1" applyBorder="1" applyAlignment="1" applyProtection="1">
      <alignment horizontal="center" vertical="center"/>
      <protection hidden="1"/>
    </xf>
    <xf numFmtId="4" fontId="40" fillId="7" borderId="13" xfId="0" applyNumberFormat="1" applyFont="1" applyFill="1" applyBorder="1" applyAlignment="1" applyProtection="1">
      <alignment horizontal="center" vertical="center"/>
      <protection hidden="1"/>
    </xf>
    <xf numFmtId="0" fontId="33" fillId="2" borderId="5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164" fontId="32" fillId="9" borderId="5" xfId="3" applyFont="1" applyFill="1" applyBorder="1" applyAlignment="1" applyProtection="1">
      <alignment horizontal="center" vertical="center"/>
      <protection locked="0" hidden="1"/>
    </xf>
    <xf numFmtId="167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168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167" fontId="34" fillId="9" borderId="5" xfId="3" applyNumberFormat="1" applyFont="1" applyFill="1" applyBorder="1" applyAlignment="1" applyProtection="1">
      <alignment horizontal="center" vertical="center"/>
      <protection locked="0" hidden="1"/>
    </xf>
    <xf numFmtId="0" fontId="32" fillId="0" borderId="5" xfId="0" applyFont="1" applyBorder="1" applyAlignment="1" applyProtection="1">
      <alignment horizontal="center" vertical="center" wrapText="1"/>
      <protection locked="0" hidden="1"/>
    </xf>
    <xf numFmtId="164" fontId="32" fillId="9" borderId="6" xfId="3" applyFont="1" applyFill="1" applyBorder="1" applyAlignment="1" applyProtection="1">
      <alignment horizontal="center" vertical="center"/>
      <protection locked="0" hidden="1"/>
    </xf>
    <xf numFmtId="164" fontId="32" fillId="9" borderId="8" xfId="3" applyFont="1" applyFill="1" applyBorder="1" applyAlignment="1" applyProtection="1">
      <alignment horizontal="center" vertical="center"/>
      <protection locked="0" hidden="1"/>
    </xf>
    <xf numFmtId="164" fontId="32" fillId="9" borderId="30" xfId="3" applyFont="1" applyFill="1" applyBorder="1" applyAlignment="1" applyProtection="1">
      <alignment horizontal="center" vertical="center"/>
      <protection locked="0" hidden="1"/>
    </xf>
    <xf numFmtId="169" fontId="34" fillId="9" borderId="6" xfId="3" applyNumberFormat="1" applyFont="1" applyFill="1" applyBorder="1" applyAlignment="1" applyProtection="1">
      <alignment horizontal="center" vertical="center"/>
      <protection locked="0" hidden="1"/>
    </xf>
    <xf numFmtId="169" fontId="34" fillId="9" borderId="8" xfId="3" applyNumberFormat="1" applyFont="1" applyFill="1" applyBorder="1" applyAlignment="1" applyProtection="1">
      <alignment horizontal="center" vertical="center"/>
      <protection locked="0" hidden="1"/>
    </xf>
    <xf numFmtId="169" fontId="34" fillId="9" borderId="7" xfId="3" applyNumberFormat="1" applyFont="1" applyFill="1" applyBorder="1" applyAlignment="1" applyProtection="1">
      <alignment horizontal="center" vertical="center"/>
      <protection locked="0" hidden="1"/>
    </xf>
    <xf numFmtId="0" fontId="32" fillId="9" borderId="5" xfId="0" applyFont="1" applyFill="1" applyBorder="1" applyAlignment="1" applyProtection="1">
      <alignment vertical="center" wrapText="1"/>
      <protection locked="0" hidden="1"/>
    </xf>
    <xf numFmtId="4" fontId="0" fillId="0" borderId="41" xfId="0" applyNumberFormat="1" applyBorder="1" applyAlignment="1" applyProtection="1">
      <alignment horizontal="center"/>
      <protection hidden="1"/>
    </xf>
  </cellXfs>
  <cellStyles count="14">
    <cellStyle name="Čiarka" xfId="3" builtinId="3"/>
    <cellStyle name="Čiarka 2" xfId="2" xr:uid="{00000000-0005-0000-0000-000001000000}"/>
    <cellStyle name="Čiarka 2 2" xfId="6" xr:uid="{00000000-0005-0000-0000-000002000000}"/>
    <cellStyle name="Čiarka 2 3" xfId="8" xr:uid="{00000000-0005-0000-0000-000003000000}"/>
    <cellStyle name="Hypertextové prepojenie" xfId="10" builtinId="8"/>
    <cellStyle name="Hypertextové prepojenie 2" xfId="13" xr:uid="{450920D5-67E5-42EF-BC6E-6333BC8241B0}"/>
    <cellStyle name="Normal 2 2" xfId="9" xr:uid="{00000000-0005-0000-0000-000005000000}"/>
    <cellStyle name="Normálna" xfId="0" builtinId="0"/>
    <cellStyle name="Normálna 2" xfId="1" xr:uid="{00000000-0005-0000-0000-000007000000}"/>
    <cellStyle name="Normálna 2 2" xfId="5" xr:uid="{00000000-0005-0000-0000-000008000000}"/>
    <cellStyle name="Normálna 2 3" xfId="7" xr:uid="{00000000-0005-0000-0000-000009000000}"/>
    <cellStyle name="Normálna 3" xfId="11" xr:uid="{917E8DA5-DF84-4BA0-9A5C-05E9FDF5997D}"/>
    <cellStyle name="Normálna 3 2" xfId="12" xr:uid="{5CFA0A43-DE66-44EF-B72E-5570D25195B3}"/>
    <cellStyle name="Normálna 4" xfId="4" xr:uid="{00000000-0005-0000-0000-00000A000000}"/>
  </cellStyles>
  <dxfs count="0"/>
  <tableStyles count="0" defaultTableStyle="TableStyleMedium2" defaultPivotStyle="PivotStyleLight16"/>
  <colors>
    <mruColors>
      <color rgb="FFA10D2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259080</xdr:colOff>
      <xdr:row>39</xdr:row>
      <xdr:rowOff>39896</xdr:rowOff>
    </xdr:from>
    <xdr:to>
      <xdr:col>10</xdr:col>
      <xdr:colOff>61408</xdr:colOff>
      <xdr:row>41</xdr:row>
      <xdr:rowOff>162328</xdr:rowOff>
    </xdr:to>
    <xdr:sp macro="" textlink="">
      <xdr:nvSpPr>
        <xdr:cNvPr id="4" name="Šípka doprava 8">
          <a:extLst>
            <a:ext uri="{FF2B5EF4-FFF2-40B4-BE49-F238E27FC236}">
              <a16:creationId xmlns:a16="http://schemas.microsoft.com/office/drawing/2014/main" id="{0C820ACD-F656-47F5-B51B-5CD3382F8166}"/>
            </a:ext>
          </a:extLst>
        </xdr:cNvPr>
        <xdr:cNvSpPr/>
      </xdr:nvSpPr>
      <xdr:spPr>
        <a:xfrm>
          <a:off x="4526280" y="1895590"/>
          <a:ext cx="1631128" cy="4810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266700</xdr:colOff>
      <xdr:row>45</xdr:row>
      <xdr:rowOff>34515</xdr:rowOff>
    </xdr:from>
    <xdr:to>
      <xdr:col>10</xdr:col>
      <xdr:colOff>61408</xdr:colOff>
      <xdr:row>47</xdr:row>
      <xdr:rowOff>156948</xdr:rowOff>
    </xdr:to>
    <xdr:sp macro="" textlink="">
      <xdr:nvSpPr>
        <xdr:cNvPr id="5" name="Šípka doprava 8">
          <a:extLst>
            <a:ext uri="{FF2B5EF4-FFF2-40B4-BE49-F238E27FC236}">
              <a16:creationId xmlns:a16="http://schemas.microsoft.com/office/drawing/2014/main" id="{79EFF757-6112-4673-8C84-4B4E886E9F6A}"/>
            </a:ext>
          </a:extLst>
        </xdr:cNvPr>
        <xdr:cNvSpPr/>
      </xdr:nvSpPr>
      <xdr:spPr>
        <a:xfrm>
          <a:off x="4533900" y="2965974"/>
          <a:ext cx="1623508" cy="48102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52</xdr:row>
      <xdr:rowOff>35862</xdr:rowOff>
    </xdr:from>
    <xdr:to>
      <xdr:col>10</xdr:col>
      <xdr:colOff>69028</xdr:colOff>
      <xdr:row>54</xdr:row>
      <xdr:rowOff>161880</xdr:rowOff>
    </xdr:to>
    <xdr:sp macro="" textlink="">
      <xdr:nvSpPr>
        <xdr:cNvPr id="6" name="Šípka doprava 8">
          <a:extLst>
            <a:ext uri="{FF2B5EF4-FFF2-40B4-BE49-F238E27FC236}">
              <a16:creationId xmlns:a16="http://schemas.microsoft.com/office/drawing/2014/main" id="{BFC62C82-359A-40FB-A1F0-1BF3FC8CC5E7}"/>
            </a:ext>
          </a:extLst>
        </xdr:cNvPr>
        <xdr:cNvSpPr/>
      </xdr:nvSpPr>
      <xdr:spPr>
        <a:xfrm>
          <a:off x="4541520" y="4222380"/>
          <a:ext cx="1623508" cy="4846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55</xdr:row>
      <xdr:rowOff>39449</xdr:rowOff>
    </xdr:from>
    <xdr:to>
      <xdr:col>10</xdr:col>
      <xdr:colOff>69028</xdr:colOff>
      <xdr:row>57</xdr:row>
      <xdr:rowOff>165467</xdr:rowOff>
    </xdr:to>
    <xdr:sp macro="" textlink="">
      <xdr:nvSpPr>
        <xdr:cNvPr id="7" name="Šípka doprava 8">
          <a:extLst>
            <a:ext uri="{FF2B5EF4-FFF2-40B4-BE49-F238E27FC236}">
              <a16:creationId xmlns:a16="http://schemas.microsoft.com/office/drawing/2014/main" id="{08397DF2-BF09-42ED-9369-3F21972F042A}"/>
            </a:ext>
          </a:extLst>
        </xdr:cNvPr>
        <xdr:cNvSpPr/>
      </xdr:nvSpPr>
      <xdr:spPr>
        <a:xfrm>
          <a:off x="4541520" y="4763849"/>
          <a:ext cx="1623508" cy="4846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281940</xdr:colOff>
      <xdr:row>58</xdr:row>
      <xdr:rowOff>8518</xdr:rowOff>
    </xdr:from>
    <xdr:to>
      <xdr:col>10</xdr:col>
      <xdr:colOff>76648</xdr:colOff>
      <xdr:row>60</xdr:row>
      <xdr:rowOff>134535</xdr:rowOff>
    </xdr:to>
    <xdr:sp macro="" textlink="">
      <xdr:nvSpPr>
        <xdr:cNvPr id="8" name="Šípka doprava 8">
          <a:extLst>
            <a:ext uri="{FF2B5EF4-FFF2-40B4-BE49-F238E27FC236}">
              <a16:creationId xmlns:a16="http://schemas.microsoft.com/office/drawing/2014/main" id="{2479D366-D049-4C67-ADCF-8D94CBC3DA37}"/>
            </a:ext>
          </a:extLst>
        </xdr:cNvPr>
        <xdr:cNvSpPr/>
      </xdr:nvSpPr>
      <xdr:spPr>
        <a:xfrm>
          <a:off x="4549140" y="5270800"/>
          <a:ext cx="1623508" cy="4846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 editAs="oneCell">
    <xdr:from>
      <xdr:col>10</xdr:col>
      <xdr:colOff>91441</xdr:colOff>
      <xdr:row>66</xdr:row>
      <xdr:rowOff>171154</xdr:rowOff>
    </xdr:from>
    <xdr:to>
      <xdr:col>20</xdr:col>
      <xdr:colOff>563881</xdr:colOff>
      <xdr:row>83</xdr:row>
      <xdr:rowOff>100844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B9836866-2D9D-343C-7385-E8364542A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7441" y="5909014"/>
          <a:ext cx="6568440" cy="3038650"/>
        </a:xfrm>
        <a:prstGeom prst="rect">
          <a:avLst/>
        </a:prstGeom>
      </xdr:spPr>
    </xdr:pic>
    <xdr:clientData/>
  </xdr:twoCellAnchor>
  <xdr:twoCellAnchor>
    <xdr:from>
      <xdr:col>7</xdr:col>
      <xdr:colOff>274320</xdr:colOff>
      <xdr:row>69</xdr:row>
      <xdr:rowOff>38100</xdr:rowOff>
    </xdr:from>
    <xdr:to>
      <xdr:col>10</xdr:col>
      <xdr:colOff>69028</xdr:colOff>
      <xdr:row>71</xdr:row>
      <xdr:rowOff>164118</xdr:rowOff>
    </xdr:to>
    <xdr:sp macro="" textlink="">
      <xdr:nvSpPr>
        <xdr:cNvPr id="10" name="Šípka doprava 8">
          <a:extLst>
            <a:ext uri="{FF2B5EF4-FFF2-40B4-BE49-F238E27FC236}">
              <a16:creationId xmlns:a16="http://schemas.microsoft.com/office/drawing/2014/main" id="{508F52C4-FE2C-4C44-874B-479E457B0D40}"/>
            </a:ext>
          </a:extLst>
        </xdr:cNvPr>
        <xdr:cNvSpPr/>
      </xdr:nvSpPr>
      <xdr:spPr>
        <a:xfrm>
          <a:off x="4541520" y="6324600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 editAs="oneCell">
    <xdr:from>
      <xdr:col>10</xdr:col>
      <xdr:colOff>91440</xdr:colOff>
      <xdr:row>84</xdr:row>
      <xdr:rowOff>160020</xdr:rowOff>
    </xdr:from>
    <xdr:to>
      <xdr:col>15</xdr:col>
      <xdr:colOff>297180</xdr:colOff>
      <xdr:row>90</xdr:row>
      <xdr:rowOff>87891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1A03598B-B015-D3A1-E41D-3CE93240F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7440" y="9189720"/>
          <a:ext cx="3253740" cy="1025151"/>
        </a:xfrm>
        <a:prstGeom prst="rect">
          <a:avLst/>
        </a:prstGeom>
      </xdr:spPr>
    </xdr:pic>
    <xdr:clientData/>
  </xdr:twoCellAnchor>
  <xdr:twoCellAnchor>
    <xdr:from>
      <xdr:col>7</xdr:col>
      <xdr:colOff>274320</xdr:colOff>
      <xdr:row>87</xdr:row>
      <xdr:rowOff>38100</xdr:rowOff>
    </xdr:from>
    <xdr:to>
      <xdr:col>10</xdr:col>
      <xdr:colOff>69028</xdr:colOff>
      <xdr:row>89</xdr:row>
      <xdr:rowOff>164118</xdr:rowOff>
    </xdr:to>
    <xdr:sp macro="" textlink="">
      <xdr:nvSpPr>
        <xdr:cNvPr id="12" name="Šípka doprava 8">
          <a:extLst>
            <a:ext uri="{FF2B5EF4-FFF2-40B4-BE49-F238E27FC236}">
              <a16:creationId xmlns:a16="http://schemas.microsoft.com/office/drawing/2014/main" id="{2A37B33D-3B0E-4CBC-9B8A-ACAA79FE5E67}"/>
            </a:ext>
          </a:extLst>
        </xdr:cNvPr>
        <xdr:cNvSpPr/>
      </xdr:nvSpPr>
      <xdr:spPr>
        <a:xfrm>
          <a:off x="4541520" y="9616440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74</xdr:row>
      <xdr:rowOff>121920</xdr:rowOff>
    </xdr:from>
    <xdr:to>
      <xdr:col>17</xdr:col>
      <xdr:colOff>274320</xdr:colOff>
      <xdr:row>77</xdr:row>
      <xdr:rowOff>65058</xdr:rowOff>
    </xdr:to>
    <xdr:sp macro="" textlink="">
      <xdr:nvSpPr>
        <xdr:cNvPr id="13" name="Šípka doprava 8">
          <a:extLst>
            <a:ext uri="{FF2B5EF4-FFF2-40B4-BE49-F238E27FC236}">
              <a16:creationId xmlns:a16="http://schemas.microsoft.com/office/drawing/2014/main" id="{990DC624-FC03-4EDE-80D0-6843103DA93C}"/>
            </a:ext>
          </a:extLst>
        </xdr:cNvPr>
        <xdr:cNvSpPr/>
      </xdr:nvSpPr>
      <xdr:spPr>
        <a:xfrm>
          <a:off x="4541520" y="7322820"/>
          <a:ext cx="609600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79</xdr:row>
      <xdr:rowOff>114300</xdr:rowOff>
    </xdr:from>
    <xdr:to>
      <xdr:col>16</xdr:col>
      <xdr:colOff>152400</xdr:colOff>
      <xdr:row>82</xdr:row>
      <xdr:rowOff>57438</xdr:rowOff>
    </xdr:to>
    <xdr:sp macro="" textlink="">
      <xdr:nvSpPr>
        <xdr:cNvPr id="14" name="Šípka doprava 8">
          <a:extLst>
            <a:ext uri="{FF2B5EF4-FFF2-40B4-BE49-F238E27FC236}">
              <a16:creationId xmlns:a16="http://schemas.microsoft.com/office/drawing/2014/main" id="{7B5BF967-EDEF-40B7-8821-69B257308E0E}"/>
            </a:ext>
          </a:extLst>
        </xdr:cNvPr>
        <xdr:cNvSpPr/>
      </xdr:nvSpPr>
      <xdr:spPr>
        <a:xfrm>
          <a:off x="4541520" y="8229600"/>
          <a:ext cx="536448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 editAs="oneCell">
    <xdr:from>
      <xdr:col>10</xdr:col>
      <xdr:colOff>99060</xdr:colOff>
      <xdr:row>93</xdr:row>
      <xdr:rowOff>0</xdr:rowOff>
    </xdr:from>
    <xdr:to>
      <xdr:col>20</xdr:col>
      <xdr:colOff>563880</xdr:colOff>
      <xdr:row>108</xdr:row>
      <xdr:rowOff>147049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88454D1F-52C8-E5B0-F44C-3B86A436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5060" y="10683240"/>
          <a:ext cx="6560820" cy="2890249"/>
        </a:xfrm>
        <a:prstGeom prst="rect">
          <a:avLst/>
        </a:prstGeom>
      </xdr:spPr>
    </xdr:pic>
    <xdr:clientData/>
  </xdr:twoCellAnchor>
  <xdr:oneCellAnchor>
    <xdr:from>
      <xdr:col>10</xdr:col>
      <xdr:colOff>91440</xdr:colOff>
      <xdr:row>109</xdr:row>
      <xdr:rowOff>160020</xdr:rowOff>
    </xdr:from>
    <xdr:ext cx="3253740" cy="1025151"/>
    <xdr:pic>
      <xdr:nvPicPr>
        <xdr:cNvPr id="16" name="Obrázok 15">
          <a:extLst>
            <a:ext uri="{FF2B5EF4-FFF2-40B4-BE49-F238E27FC236}">
              <a16:creationId xmlns:a16="http://schemas.microsoft.com/office/drawing/2014/main" id="{B7947E1A-22E6-4526-B096-80D14EE09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7440" y="9189720"/>
          <a:ext cx="3253740" cy="1025151"/>
        </a:xfrm>
        <a:prstGeom prst="rect">
          <a:avLst/>
        </a:prstGeom>
      </xdr:spPr>
    </xdr:pic>
    <xdr:clientData/>
  </xdr:oneCellAnchor>
  <xdr:twoCellAnchor>
    <xdr:from>
      <xdr:col>7</xdr:col>
      <xdr:colOff>274320</xdr:colOff>
      <xdr:row>112</xdr:row>
      <xdr:rowOff>38100</xdr:rowOff>
    </xdr:from>
    <xdr:to>
      <xdr:col>10</xdr:col>
      <xdr:colOff>69028</xdr:colOff>
      <xdr:row>114</xdr:row>
      <xdr:rowOff>164118</xdr:rowOff>
    </xdr:to>
    <xdr:sp macro="" textlink="">
      <xdr:nvSpPr>
        <xdr:cNvPr id="17" name="Šípka doprava 8">
          <a:extLst>
            <a:ext uri="{FF2B5EF4-FFF2-40B4-BE49-F238E27FC236}">
              <a16:creationId xmlns:a16="http://schemas.microsoft.com/office/drawing/2014/main" id="{6979ADEA-EB19-49D7-8655-2804DF0D3FFD}"/>
            </a:ext>
          </a:extLst>
        </xdr:cNvPr>
        <xdr:cNvSpPr/>
      </xdr:nvSpPr>
      <xdr:spPr>
        <a:xfrm>
          <a:off x="4541520" y="9616440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95</xdr:row>
      <xdr:rowOff>30480</xdr:rowOff>
    </xdr:from>
    <xdr:to>
      <xdr:col>10</xdr:col>
      <xdr:colOff>69028</xdr:colOff>
      <xdr:row>97</xdr:row>
      <xdr:rowOff>156498</xdr:rowOff>
    </xdr:to>
    <xdr:sp macro="" textlink="">
      <xdr:nvSpPr>
        <xdr:cNvPr id="18" name="Šípka doprava 8">
          <a:extLst>
            <a:ext uri="{FF2B5EF4-FFF2-40B4-BE49-F238E27FC236}">
              <a16:creationId xmlns:a16="http://schemas.microsoft.com/office/drawing/2014/main" id="{545B896B-57F8-4E37-889E-9A08D5450146}"/>
            </a:ext>
          </a:extLst>
        </xdr:cNvPr>
        <xdr:cNvSpPr/>
      </xdr:nvSpPr>
      <xdr:spPr>
        <a:xfrm>
          <a:off x="4541520" y="11079480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100</xdr:row>
      <xdr:rowOff>114300</xdr:rowOff>
    </xdr:from>
    <xdr:to>
      <xdr:col>17</xdr:col>
      <xdr:colOff>274320</xdr:colOff>
      <xdr:row>103</xdr:row>
      <xdr:rowOff>57438</xdr:rowOff>
    </xdr:to>
    <xdr:sp macro="" textlink="">
      <xdr:nvSpPr>
        <xdr:cNvPr id="19" name="Šípka doprava 8">
          <a:extLst>
            <a:ext uri="{FF2B5EF4-FFF2-40B4-BE49-F238E27FC236}">
              <a16:creationId xmlns:a16="http://schemas.microsoft.com/office/drawing/2014/main" id="{2DD5EBE4-3C22-4313-9574-72C85281ABA3}"/>
            </a:ext>
          </a:extLst>
        </xdr:cNvPr>
        <xdr:cNvSpPr/>
      </xdr:nvSpPr>
      <xdr:spPr>
        <a:xfrm>
          <a:off x="4541520" y="12077700"/>
          <a:ext cx="609600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281940</xdr:colOff>
      <xdr:row>105</xdr:row>
      <xdr:rowOff>121920</xdr:rowOff>
    </xdr:from>
    <xdr:to>
      <xdr:col>16</xdr:col>
      <xdr:colOff>60960</xdr:colOff>
      <xdr:row>108</xdr:row>
      <xdr:rowOff>65058</xdr:rowOff>
    </xdr:to>
    <xdr:sp macro="" textlink="">
      <xdr:nvSpPr>
        <xdr:cNvPr id="20" name="Šípka doprava 8">
          <a:extLst>
            <a:ext uri="{FF2B5EF4-FFF2-40B4-BE49-F238E27FC236}">
              <a16:creationId xmlns:a16="http://schemas.microsoft.com/office/drawing/2014/main" id="{8ECE4815-3AF0-4CE4-B36D-F0CF5E2CAF80}"/>
            </a:ext>
          </a:extLst>
        </xdr:cNvPr>
        <xdr:cNvSpPr/>
      </xdr:nvSpPr>
      <xdr:spPr>
        <a:xfrm>
          <a:off x="4549140" y="12999720"/>
          <a:ext cx="526542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 editAs="oneCell">
    <xdr:from>
      <xdr:col>10</xdr:col>
      <xdr:colOff>91441</xdr:colOff>
      <xdr:row>38</xdr:row>
      <xdr:rowOff>87338</xdr:rowOff>
    </xdr:from>
    <xdr:to>
      <xdr:col>20</xdr:col>
      <xdr:colOff>519953</xdr:colOff>
      <xdr:row>64</xdr:row>
      <xdr:rowOff>61899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161C31F7-D4E7-53ED-083F-120201DC1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87441" y="1763738"/>
          <a:ext cx="6524512" cy="4636208"/>
        </a:xfrm>
        <a:prstGeom prst="rect">
          <a:avLst/>
        </a:prstGeom>
      </xdr:spPr>
    </xdr:pic>
    <xdr:clientData/>
  </xdr:twoCellAnchor>
  <xdr:oneCellAnchor>
    <xdr:from>
      <xdr:col>15</xdr:col>
      <xdr:colOff>439271</xdr:colOff>
      <xdr:row>7</xdr:row>
      <xdr:rowOff>8968</xdr:rowOff>
    </xdr:from>
    <xdr:ext cx="3115635" cy="3998182"/>
    <xdr:pic>
      <xdr:nvPicPr>
        <xdr:cNvPr id="27" name="Obrázok 26">
          <a:extLst>
            <a:ext uri="{FF2B5EF4-FFF2-40B4-BE49-F238E27FC236}">
              <a16:creationId xmlns:a16="http://schemas.microsoft.com/office/drawing/2014/main" id="{108A5F18-048E-4202-80EC-CB9EF769F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83271" y="20000262"/>
          <a:ext cx="3115635" cy="3998182"/>
        </a:xfrm>
        <a:prstGeom prst="rect">
          <a:avLst/>
        </a:prstGeom>
      </xdr:spPr>
    </xdr:pic>
    <xdr:clientData/>
  </xdr:oneCellAnchor>
  <xdr:oneCellAnchor>
    <xdr:from>
      <xdr:col>10</xdr:col>
      <xdr:colOff>125505</xdr:colOff>
      <xdr:row>6</xdr:row>
      <xdr:rowOff>116541</xdr:rowOff>
    </xdr:from>
    <xdr:ext cx="2956816" cy="5006774"/>
    <xdr:pic>
      <xdr:nvPicPr>
        <xdr:cNvPr id="28" name="Obrázok 27">
          <a:extLst>
            <a:ext uri="{FF2B5EF4-FFF2-40B4-BE49-F238E27FC236}">
              <a16:creationId xmlns:a16="http://schemas.microsoft.com/office/drawing/2014/main" id="{7F9EBA93-1F60-496E-9828-49551E79C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21505" y="19928541"/>
          <a:ext cx="2956816" cy="5006774"/>
        </a:xfrm>
        <a:prstGeom prst="rect">
          <a:avLst/>
        </a:prstGeom>
      </xdr:spPr>
    </xdr:pic>
    <xdr:clientData/>
  </xdr:oneCellAnchor>
  <xdr:twoCellAnchor>
    <xdr:from>
      <xdr:col>7</xdr:col>
      <xdr:colOff>286872</xdr:colOff>
      <xdr:row>15</xdr:row>
      <xdr:rowOff>35854</xdr:rowOff>
    </xdr:from>
    <xdr:to>
      <xdr:col>10</xdr:col>
      <xdr:colOff>81580</xdr:colOff>
      <xdr:row>17</xdr:row>
      <xdr:rowOff>161872</xdr:rowOff>
    </xdr:to>
    <xdr:sp macro="" textlink="">
      <xdr:nvSpPr>
        <xdr:cNvPr id="29" name="Šípka doprava 8">
          <a:extLst>
            <a:ext uri="{FF2B5EF4-FFF2-40B4-BE49-F238E27FC236}">
              <a16:creationId xmlns:a16="http://schemas.microsoft.com/office/drawing/2014/main" id="{DB3A4FE9-8141-40A2-BCF3-9326F0620A64}"/>
            </a:ext>
          </a:extLst>
        </xdr:cNvPr>
        <xdr:cNvSpPr/>
      </xdr:nvSpPr>
      <xdr:spPr>
        <a:xfrm>
          <a:off x="4554072" y="21461501"/>
          <a:ext cx="1623508" cy="4846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286872</xdr:colOff>
      <xdr:row>18</xdr:row>
      <xdr:rowOff>24199</xdr:rowOff>
    </xdr:from>
    <xdr:to>
      <xdr:col>18</xdr:col>
      <xdr:colOff>111612</xdr:colOff>
      <xdr:row>20</xdr:row>
      <xdr:rowOff>150217</xdr:rowOff>
    </xdr:to>
    <xdr:sp macro="" textlink="">
      <xdr:nvSpPr>
        <xdr:cNvPr id="30" name="Šípka doprava 8">
          <a:extLst>
            <a:ext uri="{FF2B5EF4-FFF2-40B4-BE49-F238E27FC236}">
              <a16:creationId xmlns:a16="http://schemas.microsoft.com/office/drawing/2014/main" id="{16A8863A-68C2-43A9-80DE-C58A787A9AFE}"/>
            </a:ext>
          </a:extLst>
        </xdr:cNvPr>
        <xdr:cNvSpPr/>
      </xdr:nvSpPr>
      <xdr:spPr>
        <a:xfrm>
          <a:off x="4554072" y="3314246"/>
          <a:ext cx="6530340" cy="4846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134472</xdr:rowOff>
    </xdr:from>
    <xdr:to>
      <xdr:col>5</xdr:col>
      <xdr:colOff>107576</xdr:colOff>
      <xdr:row>23</xdr:row>
      <xdr:rowOff>295836</xdr:rowOff>
    </xdr:to>
    <xdr:sp macro="" textlink="">
      <xdr:nvSpPr>
        <xdr:cNvPr id="2" name="Šípka doľava 3">
          <a:extLst>
            <a:ext uri="{FF2B5EF4-FFF2-40B4-BE49-F238E27FC236}">
              <a16:creationId xmlns:a16="http://schemas.microsoft.com/office/drawing/2014/main" id="{BDADBA94-BBA2-4F85-9CC0-0FF1AC4F3742}"/>
            </a:ext>
          </a:extLst>
        </xdr:cNvPr>
        <xdr:cNvSpPr/>
      </xdr:nvSpPr>
      <xdr:spPr>
        <a:xfrm>
          <a:off x="6589059" y="3272119"/>
          <a:ext cx="717176" cy="59167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4</xdr:col>
      <xdr:colOff>0</xdr:colOff>
      <xdr:row>19</xdr:row>
      <xdr:rowOff>143433</xdr:rowOff>
    </xdr:from>
    <xdr:to>
      <xdr:col>5</xdr:col>
      <xdr:colOff>107576</xdr:colOff>
      <xdr:row>20</xdr:row>
      <xdr:rowOff>304797</xdr:rowOff>
    </xdr:to>
    <xdr:sp macro="" textlink="">
      <xdr:nvSpPr>
        <xdr:cNvPr id="5" name="Šípka doľava 3">
          <a:extLst>
            <a:ext uri="{FF2B5EF4-FFF2-40B4-BE49-F238E27FC236}">
              <a16:creationId xmlns:a16="http://schemas.microsoft.com/office/drawing/2014/main" id="{14A3A150-F16C-4149-9AAA-4BEB8ED0F0E9}"/>
            </a:ext>
          </a:extLst>
        </xdr:cNvPr>
        <xdr:cNvSpPr/>
      </xdr:nvSpPr>
      <xdr:spPr>
        <a:xfrm>
          <a:off x="6589059" y="2232209"/>
          <a:ext cx="717176" cy="59167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3</xdr:col>
      <xdr:colOff>601916</xdr:colOff>
      <xdr:row>9</xdr:row>
      <xdr:rowOff>71718</xdr:rowOff>
    </xdr:from>
    <xdr:to>
      <xdr:col>5</xdr:col>
      <xdr:colOff>99892</xdr:colOff>
      <xdr:row>12</xdr:row>
      <xdr:rowOff>102454</xdr:rowOff>
    </xdr:to>
    <xdr:sp macro="" textlink="">
      <xdr:nvSpPr>
        <xdr:cNvPr id="4" name="Šípka doľava 3">
          <a:extLst>
            <a:ext uri="{FF2B5EF4-FFF2-40B4-BE49-F238E27FC236}">
              <a16:creationId xmlns:a16="http://schemas.microsoft.com/office/drawing/2014/main" id="{FC87A3C8-5132-4E7F-AA99-22E291E3627F}"/>
            </a:ext>
          </a:extLst>
        </xdr:cNvPr>
        <xdr:cNvSpPr/>
      </xdr:nvSpPr>
      <xdr:spPr>
        <a:xfrm>
          <a:off x="6587080" y="2219173"/>
          <a:ext cx="717176" cy="57106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4"/>
  <sheetViews>
    <sheetView workbookViewId="0"/>
  </sheetViews>
  <sheetFormatPr defaultColWidth="8.88671875" defaultRowHeight="14.4" x14ac:dyDescent="0.3"/>
  <cols>
    <col min="2" max="2" width="17.44140625" customWidth="1"/>
    <col min="3" max="3" width="17.5546875" customWidth="1"/>
    <col min="4" max="4" width="17.44140625" customWidth="1"/>
    <col min="5" max="5" width="18.5546875" customWidth="1"/>
    <col min="6" max="6" width="17.44140625" customWidth="1"/>
    <col min="7" max="7" width="18.44140625" customWidth="1"/>
    <col min="8" max="8" width="51.44140625" customWidth="1"/>
    <col min="10" max="10" width="17.44140625" customWidth="1"/>
    <col min="11" max="11" width="12.5546875" customWidth="1"/>
  </cols>
  <sheetData>
    <row r="1" spans="1:8" ht="44.4" customHeight="1" thickBot="1" x14ac:dyDescent="0.4">
      <c r="B1" s="266" t="s">
        <v>0</v>
      </c>
      <c r="C1" s="267"/>
      <c r="D1" s="267"/>
      <c r="E1" s="267"/>
      <c r="F1" s="268"/>
      <c r="H1" s="10"/>
    </row>
    <row r="2" spans="1:8" ht="24.9" customHeight="1" x14ac:dyDescent="0.3"/>
    <row r="3" spans="1:8" ht="18" x14ac:dyDescent="0.35">
      <c r="A3" s="11" t="s">
        <v>1</v>
      </c>
      <c r="B3" s="11"/>
      <c r="C3" s="11"/>
    </row>
    <row r="4" spans="1:8" x14ac:dyDescent="0.3">
      <c r="B4" s="1"/>
    </row>
    <row r="5" spans="1:8" ht="15" thickBot="1" x14ac:dyDescent="0.35">
      <c r="B5" s="31" t="s">
        <v>2</v>
      </c>
      <c r="D5" t="s">
        <v>3</v>
      </c>
      <c r="F5" t="s">
        <v>4</v>
      </c>
    </row>
    <row r="6" spans="1:8" ht="15" customHeight="1" thickBot="1" x14ac:dyDescent="0.35">
      <c r="B6" s="26"/>
      <c r="D6" s="26"/>
      <c r="F6" s="26"/>
    </row>
    <row r="7" spans="1:8" ht="15" customHeight="1" x14ac:dyDescent="0.3"/>
    <row r="8" spans="1:8" ht="15" customHeight="1" thickBot="1" x14ac:dyDescent="0.35">
      <c r="B8" t="s">
        <v>5</v>
      </c>
    </row>
    <row r="9" spans="1:8" ht="15" customHeight="1" thickBot="1" x14ac:dyDescent="0.35">
      <c r="B9" s="272"/>
      <c r="C9" s="273"/>
      <c r="D9" s="273"/>
      <c r="E9" s="273"/>
      <c r="F9" s="274"/>
    </row>
    <row r="10" spans="1:8" ht="15" customHeight="1" x14ac:dyDescent="0.3"/>
    <row r="11" spans="1:8" ht="15" thickBot="1" x14ac:dyDescent="0.35">
      <c r="B11" t="s">
        <v>6</v>
      </c>
    </row>
    <row r="12" spans="1:8" ht="15" thickBot="1" x14ac:dyDescent="0.35">
      <c r="B12" s="272"/>
      <c r="C12" s="273"/>
      <c r="D12" s="273"/>
      <c r="E12" s="273"/>
      <c r="F12" s="274"/>
    </row>
    <row r="13" spans="1:8" ht="15" customHeight="1" x14ac:dyDescent="0.3"/>
    <row r="14" spans="1:8" x14ac:dyDescent="0.3">
      <c r="B14" t="s">
        <v>7</v>
      </c>
    </row>
    <row r="15" spans="1:8" ht="15" thickBot="1" x14ac:dyDescent="0.35">
      <c r="B15" t="s">
        <v>8</v>
      </c>
      <c r="D15" t="s">
        <v>9</v>
      </c>
      <c r="F15" t="s">
        <v>10</v>
      </c>
    </row>
    <row r="16" spans="1:8" ht="15" thickBot="1" x14ac:dyDescent="0.35">
      <c r="B16" s="26"/>
      <c r="D16" s="26"/>
      <c r="F16" s="26"/>
    </row>
    <row r="17" spans="2:6" ht="7.5" customHeight="1" x14ac:dyDescent="0.3"/>
    <row r="18" spans="2:6" ht="15" thickBot="1" x14ac:dyDescent="0.35">
      <c r="B18" t="s">
        <v>11</v>
      </c>
      <c r="D18" t="s">
        <v>12</v>
      </c>
      <c r="F18" t="s">
        <v>13</v>
      </c>
    </row>
    <row r="19" spans="2:6" ht="15" thickBot="1" x14ac:dyDescent="0.35">
      <c r="B19" s="26"/>
      <c r="D19" s="27"/>
      <c r="F19" s="27"/>
    </row>
    <row r="20" spans="2:6" ht="15" customHeight="1" x14ac:dyDescent="0.3"/>
    <row r="21" spans="2:6" x14ac:dyDescent="0.3">
      <c r="B21" t="s">
        <v>14</v>
      </c>
      <c r="E21" s="12"/>
    </row>
    <row r="22" spans="2:6" ht="15" thickBot="1" x14ac:dyDescent="0.35">
      <c r="B22" t="s">
        <v>15</v>
      </c>
      <c r="D22" t="s">
        <v>16</v>
      </c>
      <c r="F22" t="s">
        <v>17</v>
      </c>
    </row>
    <row r="23" spans="2:6" ht="15" thickBot="1" x14ac:dyDescent="0.35">
      <c r="B23" s="26"/>
      <c r="D23" s="26"/>
      <c r="F23" s="27"/>
    </row>
    <row r="24" spans="2:6" ht="15" thickBot="1" x14ac:dyDescent="0.35">
      <c r="B24" s="26"/>
      <c r="D24" s="26"/>
      <c r="F24" s="27"/>
    </row>
    <row r="25" spans="2:6" x14ac:dyDescent="0.3">
      <c r="F25" s="13"/>
    </row>
    <row r="26" spans="2:6" x14ac:dyDescent="0.3">
      <c r="B26" t="s">
        <v>18</v>
      </c>
      <c r="F26" s="13"/>
    </row>
    <row r="27" spans="2:6" ht="15" thickBot="1" x14ac:dyDescent="0.35">
      <c r="B27" t="s">
        <v>15</v>
      </c>
      <c r="D27" t="s">
        <v>16</v>
      </c>
      <c r="F27" s="13"/>
    </row>
    <row r="28" spans="2:6" ht="15" thickBot="1" x14ac:dyDescent="0.35">
      <c r="B28" s="26"/>
      <c r="D28" s="26"/>
      <c r="F28" s="13"/>
    </row>
    <row r="29" spans="2:6" ht="15" thickBot="1" x14ac:dyDescent="0.35">
      <c r="B29" s="31" t="s">
        <v>19</v>
      </c>
      <c r="F29" s="13"/>
    </row>
    <row r="30" spans="2:6" ht="15" thickBot="1" x14ac:dyDescent="0.35">
      <c r="B30" s="28"/>
      <c r="F30" s="13"/>
    </row>
    <row r="31" spans="2:6" x14ac:dyDescent="0.3">
      <c r="F31" s="13"/>
    </row>
    <row r="32" spans="2:6" ht="15" thickBot="1" x14ac:dyDescent="0.35">
      <c r="B32" t="s">
        <v>20</v>
      </c>
    </row>
    <row r="33" spans="1:8" ht="15" thickBot="1" x14ac:dyDescent="0.35">
      <c r="B33" s="272"/>
      <c r="C33" s="273"/>
      <c r="D33" s="273"/>
      <c r="E33" s="273"/>
      <c r="F33" s="274"/>
    </row>
    <row r="36" spans="1:8" ht="18" x14ac:dyDescent="0.35">
      <c r="A36" s="271" t="s">
        <v>21</v>
      </c>
      <c r="B36" s="271"/>
      <c r="C36" s="271"/>
      <c r="D36" s="271"/>
      <c r="E36" s="271"/>
      <c r="F36" s="271"/>
      <c r="G36" s="10"/>
      <c r="H36" s="14"/>
    </row>
    <row r="38" spans="1:8" ht="15" thickBot="1" x14ac:dyDescent="0.35">
      <c r="B38" s="1" t="s">
        <v>22</v>
      </c>
    </row>
    <row r="39" spans="1:8" ht="15" thickBot="1" x14ac:dyDescent="0.35">
      <c r="B39" s="275"/>
      <c r="C39" s="276"/>
      <c r="D39" s="276"/>
      <c r="E39" s="276"/>
      <c r="F39" s="277"/>
    </row>
    <row r="41" spans="1:8" ht="15" thickBot="1" x14ac:dyDescent="0.35">
      <c r="B41" s="15" t="s">
        <v>23</v>
      </c>
      <c r="C41" s="2"/>
      <c r="D41" s="2"/>
      <c r="E41" s="2"/>
      <c r="F41" s="2"/>
    </row>
    <row r="42" spans="1:8" ht="15" thickBot="1" x14ac:dyDescent="0.35">
      <c r="B42" s="278"/>
      <c r="C42" s="279"/>
      <c r="D42" s="279"/>
      <c r="E42" s="279"/>
      <c r="F42" s="280"/>
    </row>
    <row r="43" spans="1:8" x14ac:dyDescent="0.3">
      <c r="B43" s="2"/>
      <c r="C43" s="2"/>
      <c r="D43" s="2"/>
      <c r="E43" s="2"/>
      <c r="F43" s="2"/>
    </row>
    <row r="44" spans="1:8" x14ac:dyDescent="0.3">
      <c r="B44" s="2"/>
      <c r="C44" s="2"/>
      <c r="D44" s="2"/>
      <c r="E44" s="2"/>
      <c r="F44" s="2"/>
    </row>
    <row r="45" spans="1:8" ht="18" x14ac:dyDescent="0.35">
      <c r="A45" s="11" t="s">
        <v>24</v>
      </c>
      <c r="B45" s="11"/>
      <c r="C45" s="11"/>
      <c r="D45" s="11"/>
      <c r="E45" s="2"/>
      <c r="F45" s="2"/>
    </row>
    <row r="46" spans="1:8" x14ac:dyDescent="0.3">
      <c r="B46" s="2"/>
      <c r="C46" s="2"/>
      <c r="D46" s="2"/>
      <c r="E46" s="2"/>
      <c r="F46" s="2"/>
    </row>
    <row r="47" spans="1:8" ht="15" thickBot="1" x14ac:dyDescent="0.35">
      <c r="B47" s="1" t="s">
        <v>22</v>
      </c>
    </row>
    <row r="48" spans="1:8" ht="15" thickBot="1" x14ac:dyDescent="0.35">
      <c r="B48" s="275"/>
      <c r="C48" s="276"/>
      <c r="D48" s="276"/>
      <c r="E48" s="276"/>
      <c r="F48" s="277"/>
    </row>
    <row r="50" spans="1:12" ht="15" thickBot="1" x14ac:dyDescent="0.35">
      <c r="B50" s="15" t="s">
        <v>23</v>
      </c>
      <c r="C50" s="2"/>
      <c r="D50" s="2"/>
      <c r="E50" s="2"/>
      <c r="F50" s="2"/>
    </row>
    <row r="51" spans="1:12" ht="15" thickBot="1" x14ac:dyDescent="0.35">
      <c r="B51" s="278"/>
      <c r="C51" s="279"/>
      <c r="D51" s="279"/>
      <c r="E51" s="279"/>
      <c r="F51" s="280"/>
    </row>
    <row r="52" spans="1:12" x14ac:dyDescent="0.3">
      <c r="B52" s="2"/>
      <c r="C52" s="2"/>
      <c r="D52" s="2"/>
      <c r="E52" s="2"/>
      <c r="F52" s="2"/>
    </row>
    <row r="53" spans="1:12" ht="18" x14ac:dyDescent="0.35">
      <c r="A53" s="271" t="s">
        <v>25</v>
      </c>
      <c r="B53" s="271"/>
      <c r="C53" s="271"/>
      <c r="D53" s="271"/>
      <c r="E53" s="271"/>
      <c r="F53" s="271"/>
    </row>
    <row r="54" spans="1:12" ht="15.6" x14ac:dyDescent="0.3">
      <c r="B54" s="16"/>
      <c r="C54" s="16"/>
      <c r="D54" s="16"/>
      <c r="E54" s="16"/>
      <c r="F54" s="17"/>
      <c r="G54" s="18"/>
      <c r="H54" s="18"/>
      <c r="I54" s="18"/>
    </row>
    <row r="55" spans="1:12" ht="15" thickBot="1" x14ac:dyDescent="0.35">
      <c r="B55" s="2" t="s">
        <v>26</v>
      </c>
      <c r="C55" s="2"/>
      <c r="D55" s="2" t="s">
        <v>27</v>
      </c>
      <c r="E55" s="2"/>
      <c r="F55" s="19"/>
    </row>
    <row r="56" spans="1:12" ht="15" thickBot="1" x14ac:dyDescent="0.35">
      <c r="B56" s="29"/>
      <c r="C56" s="2"/>
      <c r="D56" s="29"/>
      <c r="E56" s="2"/>
      <c r="F56" s="19"/>
    </row>
    <row r="57" spans="1:12" x14ac:dyDescent="0.3">
      <c r="B57" s="20" t="s">
        <v>28</v>
      </c>
      <c r="C57" s="2"/>
      <c r="D57" s="2"/>
      <c r="E57" s="2"/>
      <c r="F57" s="19"/>
    </row>
    <row r="58" spans="1:12" ht="15" thickBot="1" x14ac:dyDescent="0.35">
      <c r="B58" s="2" t="s">
        <v>29</v>
      </c>
      <c r="C58" s="2"/>
      <c r="D58" s="2" t="s">
        <v>30</v>
      </c>
      <c r="E58" s="2"/>
      <c r="F58" s="19"/>
    </row>
    <row r="59" spans="1:12" ht="15" thickBot="1" x14ac:dyDescent="0.35">
      <c r="B59" s="29"/>
      <c r="C59" s="2"/>
      <c r="D59" s="29"/>
      <c r="E59" s="2"/>
      <c r="F59" s="2"/>
    </row>
    <row r="60" spans="1:12" x14ac:dyDescent="0.3">
      <c r="B60" s="2"/>
      <c r="C60" s="2"/>
      <c r="D60" s="2"/>
      <c r="E60" s="2"/>
      <c r="F60" s="2"/>
    </row>
    <row r="61" spans="1:12" ht="15" thickBot="1" x14ac:dyDescent="0.35">
      <c r="B61" s="2" t="s">
        <v>31</v>
      </c>
      <c r="C61" s="2"/>
      <c r="D61" s="2" t="s">
        <v>32</v>
      </c>
      <c r="E61" s="2"/>
      <c r="F61" s="2"/>
    </row>
    <row r="62" spans="1:12" ht="15" thickBot="1" x14ac:dyDescent="0.35">
      <c r="B62" s="29"/>
      <c r="C62" s="2"/>
      <c r="D62" s="29"/>
      <c r="E62" s="2"/>
      <c r="F62" s="2"/>
    </row>
    <row r="63" spans="1:12" x14ac:dyDescent="0.3">
      <c r="B63" s="2"/>
      <c r="C63" s="2"/>
      <c r="D63" s="2"/>
      <c r="E63" s="2"/>
      <c r="F63" s="2"/>
    </row>
    <row r="64" spans="1:12" ht="15" thickBot="1" x14ac:dyDescent="0.35">
      <c r="B64" s="2" t="s">
        <v>33</v>
      </c>
      <c r="C64" s="2"/>
      <c r="D64" s="2" t="s">
        <v>34</v>
      </c>
      <c r="E64" s="2"/>
      <c r="F64" s="19"/>
      <c r="L64" s="30"/>
    </row>
    <row r="65" spans="2:12" ht="15" thickBot="1" x14ac:dyDescent="0.35">
      <c r="B65" s="29"/>
      <c r="C65" s="2"/>
      <c r="D65" s="29"/>
      <c r="E65" s="2"/>
      <c r="F65" s="19"/>
      <c r="L65" s="30"/>
    </row>
    <row r="66" spans="2:12" x14ac:dyDescent="0.3">
      <c r="B66" s="20"/>
      <c r="C66" s="2"/>
      <c r="D66" s="2"/>
      <c r="E66" s="2"/>
      <c r="F66" s="19"/>
      <c r="L66" s="30"/>
    </row>
    <row r="67" spans="2:12" ht="15" thickBot="1" x14ac:dyDescent="0.35">
      <c r="B67" s="2" t="s">
        <v>35</v>
      </c>
      <c r="C67" s="2"/>
      <c r="D67" s="2" t="s">
        <v>36</v>
      </c>
      <c r="E67" s="2"/>
      <c r="F67" s="19"/>
      <c r="L67" s="30"/>
    </row>
    <row r="68" spans="2:12" ht="15" thickBot="1" x14ac:dyDescent="0.35">
      <c r="B68" s="29"/>
      <c r="C68" s="2"/>
      <c r="D68" s="29"/>
      <c r="E68" s="2"/>
      <c r="F68" s="19"/>
      <c r="L68" s="30"/>
    </row>
    <row r="69" spans="2:12" x14ac:dyDescent="0.3">
      <c r="B69" s="20"/>
      <c r="C69" s="2"/>
      <c r="D69" s="2"/>
      <c r="E69" s="2"/>
      <c r="F69" s="19"/>
      <c r="L69" s="30"/>
    </row>
    <row r="70" spans="2:12" ht="15" thickBot="1" x14ac:dyDescent="0.35">
      <c r="B70" s="2" t="s">
        <v>37</v>
      </c>
      <c r="C70" s="2"/>
      <c r="D70" s="2" t="s">
        <v>38</v>
      </c>
      <c r="E70" s="2"/>
      <c r="F70" s="19"/>
      <c r="L70" s="30"/>
    </row>
    <row r="71" spans="2:12" ht="15" thickBot="1" x14ac:dyDescent="0.35">
      <c r="B71" s="29"/>
      <c r="C71" s="2"/>
      <c r="D71" s="29"/>
      <c r="E71" s="2"/>
      <c r="F71" s="19"/>
      <c r="L71" s="30"/>
    </row>
    <row r="72" spans="2:12" x14ac:dyDescent="0.3">
      <c r="B72" s="20"/>
      <c r="C72" s="2"/>
      <c r="D72" s="2"/>
      <c r="E72" s="2"/>
      <c r="F72" s="19"/>
      <c r="L72" s="30"/>
    </row>
    <row r="73" spans="2:12" ht="15" thickBot="1" x14ac:dyDescent="0.35">
      <c r="B73" s="2" t="s">
        <v>39</v>
      </c>
      <c r="C73" s="2"/>
      <c r="D73" s="2" t="s">
        <v>40</v>
      </c>
      <c r="E73" s="2"/>
      <c r="F73" s="19"/>
      <c r="L73" s="30"/>
    </row>
    <row r="74" spans="2:12" ht="15" thickBot="1" x14ac:dyDescent="0.35">
      <c r="B74" s="29"/>
      <c r="C74" s="2"/>
      <c r="D74" s="29"/>
      <c r="E74" s="2"/>
      <c r="F74" s="19"/>
      <c r="L74" s="30"/>
    </row>
    <row r="75" spans="2:12" x14ac:dyDescent="0.3">
      <c r="B75" s="20"/>
      <c r="C75" s="2"/>
      <c r="D75" s="2"/>
      <c r="E75" s="2"/>
      <c r="F75" s="19"/>
      <c r="L75" s="30"/>
    </row>
    <row r="76" spans="2:12" ht="15" thickBot="1" x14ac:dyDescent="0.35">
      <c r="B76" s="2" t="s">
        <v>41</v>
      </c>
      <c r="C76" s="2"/>
      <c r="D76" s="2" t="s">
        <v>42</v>
      </c>
      <c r="E76" s="2"/>
      <c r="F76" s="19"/>
      <c r="L76" s="30"/>
    </row>
    <row r="77" spans="2:12" ht="15" thickBot="1" x14ac:dyDescent="0.35">
      <c r="B77" s="29"/>
      <c r="C77" s="2"/>
      <c r="D77" s="29"/>
      <c r="E77" s="2"/>
      <c r="F77" s="19"/>
      <c r="L77" s="30"/>
    </row>
    <row r="78" spans="2:12" x14ac:dyDescent="0.3">
      <c r="B78" s="20"/>
      <c r="C78" s="2"/>
      <c r="D78" s="2"/>
      <c r="E78" s="2"/>
      <c r="F78" s="19"/>
      <c r="L78" s="30"/>
    </row>
    <row r="79" spans="2:12" ht="15" thickBot="1" x14ac:dyDescent="0.35">
      <c r="B79" s="2" t="s">
        <v>43</v>
      </c>
      <c r="C79" s="2"/>
      <c r="D79" s="2" t="s">
        <v>44</v>
      </c>
      <c r="E79" s="2"/>
      <c r="F79" s="19"/>
      <c r="L79" s="30"/>
    </row>
    <row r="80" spans="2:12" ht="15" thickBot="1" x14ac:dyDescent="0.35">
      <c r="B80" s="29"/>
      <c r="C80" s="2"/>
      <c r="D80" s="29"/>
      <c r="E80" s="2"/>
      <c r="F80" s="19"/>
      <c r="L80" s="30"/>
    </row>
    <row r="81" spans="2:12" x14ac:dyDescent="0.3">
      <c r="B81" s="20"/>
      <c r="C81" s="2"/>
      <c r="D81" s="2"/>
      <c r="E81" s="2"/>
      <c r="F81" s="19"/>
      <c r="L81" s="30"/>
    </row>
    <row r="82" spans="2:12" ht="15" thickBot="1" x14ac:dyDescent="0.35">
      <c r="B82" s="2" t="s">
        <v>45</v>
      </c>
      <c r="C82" s="2"/>
      <c r="D82" s="2" t="s">
        <v>46</v>
      </c>
      <c r="E82" s="2"/>
      <c r="F82" s="19"/>
      <c r="L82" s="30"/>
    </row>
    <row r="83" spans="2:12" ht="15" thickBot="1" x14ac:dyDescent="0.35">
      <c r="B83" s="29"/>
      <c r="C83" s="2"/>
      <c r="D83" s="29"/>
      <c r="E83" s="2"/>
      <c r="F83" s="19"/>
      <c r="L83" s="30"/>
    </row>
    <row r="84" spans="2:12" x14ac:dyDescent="0.3">
      <c r="B84" s="2"/>
      <c r="C84" s="2"/>
      <c r="D84" s="2"/>
      <c r="E84" s="2"/>
      <c r="F84" s="2"/>
    </row>
    <row r="85" spans="2:12" ht="14.4" customHeight="1" x14ac:dyDescent="0.3">
      <c r="B85" s="269" t="s">
        <v>47</v>
      </c>
      <c r="C85" s="269"/>
      <c r="D85" s="269"/>
      <c r="E85" s="269"/>
      <c r="F85" s="269"/>
    </row>
    <row r="86" spans="2:12" ht="7.5" customHeight="1" x14ac:dyDescent="0.3">
      <c r="B86" s="2"/>
      <c r="C86" s="2"/>
      <c r="D86" s="2"/>
      <c r="E86" s="2"/>
      <c r="F86" s="2"/>
    </row>
    <row r="87" spans="2:12" ht="47.4" customHeight="1" x14ac:dyDescent="0.3">
      <c r="B87" s="270" t="s">
        <v>48</v>
      </c>
      <c r="C87" s="263"/>
      <c r="D87" s="263"/>
      <c r="E87" s="263"/>
      <c r="F87" s="263"/>
      <c r="G87" s="3" t="s">
        <v>49</v>
      </c>
      <c r="H87" s="21"/>
    </row>
    <row r="88" spans="2:12" ht="7.5" customHeight="1" x14ac:dyDescent="0.3">
      <c r="B88" s="22"/>
      <c r="C88" s="23"/>
      <c r="D88" s="23"/>
      <c r="E88" s="23"/>
      <c r="F88" s="23"/>
    </row>
    <row r="89" spans="2:12" ht="75.599999999999994" customHeight="1" x14ac:dyDescent="0.3">
      <c r="B89" s="262" t="s">
        <v>50</v>
      </c>
      <c r="C89" s="263"/>
      <c r="D89" s="263"/>
      <c r="E89" s="263"/>
      <c r="F89" s="263"/>
      <c r="G89" s="3" t="s">
        <v>49</v>
      </c>
      <c r="H89" s="21"/>
    </row>
    <row r="90" spans="2:12" ht="7.5" customHeight="1" x14ac:dyDescent="0.3">
      <c r="B90" s="22"/>
      <c r="C90" s="22"/>
      <c r="D90" s="22"/>
      <c r="E90" s="22"/>
      <c r="F90" s="22"/>
    </row>
    <row r="91" spans="2:12" ht="45.9" customHeight="1" x14ac:dyDescent="0.3">
      <c r="B91" s="262" t="s">
        <v>51</v>
      </c>
      <c r="C91" s="263"/>
      <c r="D91" s="263"/>
      <c r="E91" s="263"/>
      <c r="F91" s="263"/>
      <c r="G91" s="3" t="s">
        <v>49</v>
      </c>
      <c r="H91" s="21"/>
    </row>
    <row r="92" spans="2:12" ht="8.25" customHeight="1" x14ac:dyDescent="0.3">
      <c r="B92" s="24"/>
      <c r="C92" s="24"/>
      <c r="D92" s="24"/>
      <c r="E92" s="24"/>
      <c r="F92" s="24"/>
    </row>
    <row r="93" spans="2:12" ht="46.5" customHeight="1" x14ac:dyDescent="0.3">
      <c r="B93" s="262" t="s">
        <v>52</v>
      </c>
      <c r="C93" s="263"/>
      <c r="D93" s="263"/>
      <c r="E93" s="263"/>
      <c r="F93" s="263"/>
      <c r="G93" s="3" t="s">
        <v>49</v>
      </c>
      <c r="H93" s="12"/>
    </row>
    <row r="94" spans="2:12" ht="7.5" customHeight="1" x14ac:dyDescent="0.3">
      <c r="B94" s="24"/>
      <c r="C94" s="25"/>
      <c r="D94" s="25"/>
      <c r="E94" s="25"/>
      <c r="F94" s="25"/>
    </row>
    <row r="95" spans="2:12" ht="44.25" customHeight="1" x14ac:dyDescent="0.3">
      <c r="B95" s="262" t="s">
        <v>53</v>
      </c>
      <c r="C95" s="263"/>
      <c r="D95" s="263"/>
      <c r="E95" s="263"/>
      <c r="F95" s="263"/>
      <c r="G95" s="3" t="s">
        <v>49</v>
      </c>
      <c r="H95" s="21"/>
    </row>
    <row r="96" spans="2:12" ht="7.5" customHeight="1" x14ac:dyDescent="0.3">
      <c r="B96" s="2"/>
      <c r="C96" s="2"/>
      <c r="D96" s="2"/>
      <c r="E96" s="2"/>
      <c r="F96" s="2"/>
    </row>
    <row r="97" spans="2:7" ht="53.25" customHeight="1" x14ac:dyDescent="0.3">
      <c r="B97" s="262" t="s">
        <v>54</v>
      </c>
      <c r="C97" s="263"/>
      <c r="D97" s="263"/>
      <c r="E97" s="263"/>
      <c r="F97" s="263"/>
      <c r="G97" s="3" t="s">
        <v>49</v>
      </c>
    </row>
    <row r="98" spans="2:7" ht="7.5" customHeight="1" x14ac:dyDescent="0.3">
      <c r="B98" s="2"/>
      <c r="C98" s="2"/>
      <c r="D98" s="2"/>
      <c r="E98" s="2"/>
      <c r="F98" s="2"/>
    </row>
    <row r="99" spans="2:7" ht="33.9" customHeight="1" x14ac:dyDescent="0.3">
      <c r="B99" s="264" t="s">
        <v>55</v>
      </c>
      <c r="C99" s="265"/>
      <c r="D99" s="265"/>
      <c r="E99" s="265"/>
      <c r="F99" s="265"/>
      <c r="G99" s="3" t="s">
        <v>49</v>
      </c>
    </row>
    <row r="100" spans="2:7" ht="6.9" customHeight="1" x14ac:dyDescent="0.3">
      <c r="B100" s="24"/>
      <c r="C100" s="24"/>
      <c r="D100" s="24"/>
      <c r="E100" s="24"/>
      <c r="F100" s="24"/>
    </row>
    <row r="101" spans="2:7" ht="33.9" customHeight="1" x14ac:dyDescent="0.3">
      <c r="B101" s="259" t="s">
        <v>56</v>
      </c>
      <c r="C101" s="259"/>
      <c r="D101" s="259"/>
      <c r="E101" s="259"/>
      <c r="F101" s="259"/>
      <c r="G101" s="3" t="s">
        <v>49</v>
      </c>
    </row>
    <row r="102" spans="2:7" ht="24.9" customHeight="1" x14ac:dyDescent="0.3"/>
    <row r="103" spans="2:7" ht="19.5" customHeight="1" x14ac:dyDescent="0.3">
      <c r="B103" s="260" t="str">
        <f>IF(AND(G87="ÁNO",G89="ÁNO",G91="ÁNO",G93="ÁNO",OR(G95="ÁNO",G95="NIE (kompenzácia do 100 tis. EUR)"),G97="ÁNO",G99="ÁNO",G101="ÁNO"),"","NIE SÚ VYPLNENÉ VŠETKY ČESTNÉ PREHLÁSENIA")</f>
        <v>NIE SÚ VYPLNENÉ VŠETKY ČESTNÉ PREHLÁSENIA</v>
      </c>
      <c r="C103" s="261"/>
      <c r="D103" s="261"/>
      <c r="E103" s="261"/>
      <c r="F103" s="261"/>
    </row>
    <row r="104" spans="2:7" ht="24.9" customHeight="1" x14ac:dyDescent="0.3"/>
  </sheetData>
  <mergeCells count="20">
    <mergeCell ref="B1:F1"/>
    <mergeCell ref="B85:F85"/>
    <mergeCell ref="B91:F91"/>
    <mergeCell ref="B87:F87"/>
    <mergeCell ref="B89:F89"/>
    <mergeCell ref="A36:F36"/>
    <mergeCell ref="A53:F53"/>
    <mergeCell ref="B9:F9"/>
    <mergeCell ref="B12:F12"/>
    <mergeCell ref="B39:F39"/>
    <mergeCell ref="B42:F42"/>
    <mergeCell ref="B33:F33"/>
    <mergeCell ref="B48:F48"/>
    <mergeCell ref="B51:F51"/>
    <mergeCell ref="B101:F101"/>
    <mergeCell ref="B103:F103"/>
    <mergeCell ref="B93:F93"/>
    <mergeCell ref="B95:F95"/>
    <mergeCell ref="B99:F99"/>
    <mergeCell ref="B97:F97"/>
  </mergeCells>
  <dataValidations count="2">
    <dataValidation type="list" allowBlank="1" showInputMessage="1" showErrorMessage="1" prompt="ZVOLIŤ MOŽNOSŤ" sqref="G87 G91:G93 G97 G89 G99 G101" xr:uid="{00000000-0002-0000-0000-000000000000}">
      <formula1>"Zvoliť možnosť, ÁNO, NIE"</formula1>
    </dataValidation>
    <dataValidation type="list" allowBlank="1" showInputMessage="1" showErrorMessage="1" prompt="ZVOLIŤ MOŽNOSŤ" sqref="G95" xr:uid="{00000000-0002-0000-0000-000001000000}">
      <formula1>"Zvoliť možnosť, ÁNO, NIE, NIE (kompenzácia do 100 tis. EUR)"</formula1>
    </dataValidation>
  </dataValidations>
  <pageMargins left="0.7" right="0.7" top="0.75" bottom="0.75" header="0.3" footer="0.3"/>
  <pageSetup paperSize="8" scale="99" fitToHeight="0" orientation="landscape" r:id="rId1"/>
  <headerFooter>
    <oddHeader>&amp;L&amp;"Calibri"&amp;12&amp;K000000         INTERNÉ&amp;1#_x000D_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Okresy!$A$1:$A$79</xm:f>
          </x14:formula1>
          <xm:sqref>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0D7F-CF1C-4CAD-A3FC-C0DBBB72CF7B}">
  <dimension ref="A1:U123"/>
  <sheetViews>
    <sheetView tabSelected="1" zoomScaleNormal="100" workbookViewId="0"/>
  </sheetViews>
  <sheetFormatPr defaultRowHeight="14.4" x14ac:dyDescent="0.3"/>
  <sheetData>
    <row r="1" spans="1:21" ht="18" x14ac:dyDescent="0.35">
      <c r="A1" s="184" t="s">
        <v>361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7"/>
    </row>
    <row r="2" spans="1:21" x14ac:dyDescent="0.3">
      <c r="A2" s="153"/>
      <c r="U2" s="154"/>
    </row>
    <row r="3" spans="1:21" x14ac:dyDescent="0.3">
      <c r="A3" s="194"/>
      <c r="B3" s="195" t="s">
        <v>295</v>
      </c>
      <c r="C3" s="196"/>
      <c r="D3" s="196"/>
      <c r="E3" s="196"/>
      <c r="F3" s="196"/>
      <c r="G3" s="196"/>
      <c r="H3" s="196"/>
      <c r="I3" s="196"/>
      <c r="J3" s="196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9"/>
    </row>
    <row r="4" spans="1:21" ht="14.4" customHeight="1" x14ac:dyDescent="0.3">
      <c r="A4" s="197"/>
      <c r="B4" s="195" t="s">
        <v>296</v>
      </c>
      <c r="C4" s="196"/>
      <c r="D4" s="196"/>
      <c r="E4" s="196"/>
      <c r="F4" s="196"/>
      <c r="G4" s="196"/>
      <c r="H4" s="196"/>
      <c r="I4" s="196"/>
      <c r="J4" s="196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</row>
    <row r="5" spans="1:21" x14ac:dyDescent="0.3">
      <c r="A5" s="197"/>
      <c r="B5" s="256" t="s">
        <v>362</v>
      </c>
      <c r="C5" s="196"/>
      <c r="D5" s="196"/>
      <c r="E5" s="196"/>
      <c r="F5" s="196"/>
      <c r="G5" s="196"/>
      <c r="H5" s="196"/>
      <c r="I5" s="196"/>
      <c r="J5" s="196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</row>
    <row r="6" spans="1:21" ht="15" thickBot="1" x14ac:dyDescent="0.35">
      <c r="A6" s="185"/>
      <c r="B6" s="186"/>
      <c r="C6" s="187"/>
      <c r="D6" s="187"/>
      <c r="E6" s="187"/>
      <c r="F6" s="187"/>
      <c r="G6" s="187"/>
      <c r="H6" s="187"/>
      <c r="I6" s="187"/>
      <c r="J6" s="18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8"/>
    </row>
    <row r="7" spans="1:21" x14ac:dyDescent="0.3">
      <c r="A7" s="190"/>
      <c r="B7" s="183"/>
      <c r="U7" s="154"/>
    </row>
    <row r="8" spans="1:21" x14ac:dyDescent="0.3">
      <c r="A8" s="200"/>
      <c r="B8" s="201" t="s">
        <v>359</v>
      </c>
      <c r="C8" s="202"/>
      <c r="D8" s="202"/>
      <c r="E8" s="202"/>
      <c r="F8" s="202"/>
      <c r="G8" s="202"/>
      <c r="U8" s="154"/>
    </row>
    <row r="9" spans="1:21" x14ac:dyDescent="0.3">
      <c r="A9" s="207"/>
      <c r="B9" s="201" t="s">
        <v>356</v>
      </c>
      <c r="C9" s="202"/>
      <c r="D9" s="202"/>
      <c r="E9" s="202"/>
      <c r="F9" s="202"/>
      <c r="G9" s="202"/>
      <c r="U9" s="154"/>
    </row>
    <row r="10" spans="1:21" x14ac:dyDescent="0.3">
      <c r="A10" s="190"/>
      <c r="B10" s="183"/>
      <c r="U10" s="154"/>
    </row>
    <row r="11" spans="1:21" x14ac:dyDescent="0.3">
      <c r="A11" s="190"/>
      <c r="B11" s="183"/>
      <c r="U11" s="154"/>
    </row>
    <row r="12" spans="1:21" x14ac:dyDescent="0.3">
      <c r="A12" s="190"/>
      <c r="B12" s="183"/>
      <c r="U12" s="154"/>
    </row>
    <row r="13" spans="1:21" x14ac:dyDescent="0.3">
      <c r="A13" s="190"/>
      <c r="B13" s="183"/>
      <c r="U13" s="154"/>
    </row>
    <row r="14" spans="1:21" x14ac:dyDescent="0.3">
      <c r="A14" s="190"/>
      <c r="B14" s="183"/>
      <c r="U14" s="154"/>
    </row>
    <row r="15" spans="1:21" x14ac:dyDescent="0.3">
      <c r="A15" s="190"/>
      <c r="B15" s="183"/>
      <c r="U15" s="154"/>
    </row>
    <row r="16" spans="1:21" x14ac:dyDescent="0.3">
      <c r="A16" s="190"/>
      <c r="B16" s="183"/>
      <c r="U16" s="154"/>
    </row>
    <row r="17" spans="1:21" x14ac:dyDescent="0.3">
      <c r="A17" s="191" t="s">
        <v>297</v>
      </c>
      <c r="B17" s="188" t="s">
        <v>360</v>
      </c>
      <c r="C17" s="188"/>
      <c r="D17" s="188"/>
      <c r="E17" s="188"/>
      <c r="F17" s="188"/>
      <c r="G17" s="188"/>
      <c r="U17" s="154"/>
    </row>
    <row r="18" spans="1:21" x14ac:dyDescent="0.3">
      <c r="A18" s="190"/>
      <c r="B18" s="183"/>
      <c r="U18" s="154"/>
    </row>
    <row r="19" spans="1:21" x14ac:dyDescent="0.3">
      <c r="A19" s="190"/>
      <c r="B19" s="183"/>
      <c r="U19" s="154"/>
    </row>
    <row r="20" spans="1:21" x14ac:dyDescent="0.3">
      <c r="A20" s="191" t="s">
        <v>301</v>
      </c>
      <c r="B20" s="188" t="s">
        <v>360</v>
      </c>
      <c r="C20" s="188"/>
      <c r="D20" s="188"/>
      <c r="E20" s="188"/>
      <c r="F20" s="188"/>
      <c r="G20" s="188"/>
      <c r="U20" s="154"/>
    </row>
    <row r="21" spans="1:21" x14ac:dyDescent="0.3">
      <c r="A21" s="190"/>
      <c r="B21" s="183"/>
      <c r="U21" s="154"/>
    </row>
    <row r="22" spans="1:21" x14ac:dyDescent="0.3">
      <c r="A22" s="190"/>
      <c r="B22" s="183"/>
      <c r="U22" s="154"/>
    </row>
    <row r="23" spans="1:21" x14ac:dyDescent="0.3">
      <c r="A23" s="190"/>
      <c r="B23" s="183"/>
      <c r="U23" s="154"/>
    </row>
    <row r="24" spans="1:21" x14ac:dyDescent="0.3">
      <c r="A24" s="190"/>
      <c r="B24" s="183"/>
      <c r="U24" s="154"/>
    </row>
    <row r="25" spans="1:21" x14ac:dyDescent="0.3">
      <c r="A25" s="190"/>
      <c r="B25" s="183"/>
      <c r="U25" s="154"/>
    </row>
    <row r="26" spans="1:21" x14ac:dyDescent="0.3">
      <c r="A26" s="190"/>
      <c r="B26" s="183"/>
      <c r="U26" s="154"/>
    </row>
    <row r="27" spans="1:21" x14ac:dyDescent="0.3">
      <c r="A27" s="190"/>
      <c r="B27" s="183"/>
      <c r="U27" s="154"/>
    </row>
    <row r="28" spans="1:21" x14ac:dyDescent="0.3">
      <c r="A28" s="190"/>
      <c r="B28" s="183"/>
      <c r="U28" s="154"/>
    </row>
    <row r="29" spans="1:21" x14ac:dyDescent="0.3">
      <c r="A29" s="190"/>
      <c r="B29" s="183"/>
      <c r="U29" s="154"/>
    </row>
    <row r="30" spans="1:21" x14ac:dyDescent="0.3">
      <c r="A30" s="190"/>
      <c r="B30" s="183"/>
      <c r="U30" s="154"/>
    </row>
    <row r="31" spans="1:21" x14ac:dyDescent="0.3">
      <c r="A31" s="190"/>
      <c r="B31" s="183"/>
      <c r="U31" s="154"/>
    </row>
    <row r="32" spans="1:21" x14ac:dyDescent="0.3">
      <c r="A32" s="190"/>
      <c r="B32" s="183"/>
      <c r="U32" s="154"/>
    </row>
    <row r="33" spans="1:21" x14ac:dyDescent="0.3">
      <c r="A33" s="190"/>
      <c r="B33" s="183"/>
      <c r="U33" s="154"/>
    </row>
    <row r="34" spans="1:21" x14ac:dyDescent="0.3">
      <c r="A34" s="190"/>
      <c r="B34" s="183"/>
      <c r="U34" s="154"/>
    </row>
    <row r="35" spans="1:21" x14ac:dyDescent="0.3">
      <c r="A35" s="190"/>
      <c r="B35" s="183"/>
      <c r="U35" s="154"/>
    </row>
    <row r="36" spans="1:21" ht="15" thickBot="1" x14ac:dyDescent="0.35">
      <c r="A36" s="193"/>
      <c r="B36" s="18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8"/>
    </row>
    <row r="37" spans="1:21" x14ac:dyDescent="0.3">
      <c r="A37" s="189"/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5"/>
    </row>
    <row r="38" spans="1:21" x14ac:dyDescent="0.3">
      <c r="A38" s="200"/>
      <c r="B38" s="201" t="s">
        <v>359</v>
      </c>
      <c r="C38" s="202"/>
      <c r="D38" s="202"/>
      <c r="E38" s="202"/>
      <c r="F38" s="202"/>
      <c r="G38" s="202"/>
      <c r="U38" s="154"/>
    </row>
    <row r="39" spans="1:21" x14ac:dyDescent="0.3">
      <c r="A39" s="207"/>
      <c r="B39" s="201" t="s">
        <v>310</v>
      </c>
      <c r="C39" s="202"/>
      <c r="D39" s="202"/>
      <c r="E39" s="202"/>
      <c r="F39" s="202"/>
      <c r="G39" s="202"/>
      <c r="U39" s="154"/>
    </row>
    <row r="40" spans="1:21" x14ac:dyDescent="0.3">
      <c r="A40" s="153"/>
      <c r="U40" s="154"/>
    </row>
    <row r="41" spans="1:21" x14ac:dyDescent="0.3">
      <c r="A41" s="191" t="s">
        <v>297</v>
      </c>
      <c r="B41" s="188" t="s">
        <v>305</v>
      </c>
      <c r="C41" s="188"/>
      <c r="D41" s="188"/>
      <c r="E41" s="188"/>
      <c r="F41" s="188"/>
      <c r="G41" s="188"/>
      <c r="U41" s="154"/>
    </row>
    <row r="42" spans="1:21" x14ac:dyDescent="0.3">
      <c r="A42" s="192"/>
      <c r="B42" s="183"/>
      <c r="U42" s="154"/>
    </row>
    <row r="43" spans="1:21" x14ac:dyDescent="0.3">
      <c r="A43" s="192"/>
      <c r="B43" s="183"/>
      <c r="U43" s="154"/>
    </row>
    <row r="44" spans="1:21" x14ac:dyDescent="0.3">
      <c r="A44" s="153"/>
      <c r="U44" s="154"/>
    </row>
    <row r="45" spans="1:21" x14ac:dyDescent="0.3">
      <c r="A45" s="190"/>
      <c r="B45" s="183"/>
      <c r="U45" s="154"/>
    </row>
    <row r="46" spans="1:21" x14ac:dyDescent="0.3">
      <c r="A46" s="153"/>
      <c r="U46" s="154"/>
    </row>
    <row r="47" spans="1:21" x14ac:dyDescent="0.3">
      <c r="A47" s="191" t="s">
        <v>301</v>
      </c>
      <c r="B47" s="188" t="s">
        <v>355</v>
      </c>
      <c r="C47" s="188"/>
      <c r="D47" s="188"/>
      <c r="E47" s="188"/>
      <c r="F47" s="188"/>
      <c r="G47" s="188"/>
      <c r="U47" s="154"/>
    </row>
    <row r="48" spans="1:21" x14ac:dyDescent="0.3">
      <c r="A48" s="190"/>
      <c r="B48" s="183"/>
      <c r="U48" s="154"/>
    </row>
    <row r="49" spans="1:21" x14ac:dyDescent="0.3">
      <c r="A49" s="190"/>
      <c r="B49" s="183"/>
      <c r="U49" s="154"/>
    </row>
    <row r="50" spans="1:21" x14ac:dyDescent="0.3">
      <c r="A50" s="153"/>
      <c r="U50" s="154"/>
    </row>
    <row r="51" spans="1:21" x14ac:dyDescent="0.3">
      <c r="A51" s="190"/>
      <c r="B51" s="183"/>
      <c r="U51" s="154"/>
    </row>
    <row r="52" spans="1:21" x14ac:dyDescent="0.3">
      <c r="A52" s="153"/>
      <c r="U52" s="154"/>
    </row>
    <row r="53" spans="1:21" x14ac:dyDescent="0.3">
      <c r="A53" s="153"/>
      <c r="U53" s="154"/>
    </row>
    <row r="54" spans="1:21" x14ac:dyDescent="0.3">
      <c r="A54" s="191" t="s">
        <v>307</v>
      </c>
      <c r="B54" s="188" t="s">
        <v>306</v>
      </c>
      <c r="C54" s="188"/>
      <c r="D54" s="188"/>
      <c r="E54" s="188"/>
      <c r="F54" s="188"/>
      <c r="G54" s="188"/>
      <c r="U54" s="154"/>
    </row>
    <row r="55" spans="1:21" x14ac:dyDescent="0.3">
      <c r="A55" s="153"/>
      <c r="U55" s="154"/>
    </row>
    <row r="56" spans="1:21" x14ac:dyDescent="0.3">
      <c r="A56" s="190"/>
      <c r="B56" s="183"/>
      <c r="U56" s="154"/>
    </row>
    <row r="57" spans="1:21" x14ac:dyDescent="0.3">
      <c r="A57" s="191" t="s">
        <v>308</v>
      </c>
      <c r="B57" s="188" t="s">
        <v>306</v>
      </c>
      <c r="C57" s="188"/>
      <c r="D57" s="188"/>
      <c r="E57" s="188"/>
      <c r="F57" s="188"/>
      <c r="G57" s="188"/>
      <c r="U57" s="154"/>
    </row>
    <row r="58" spans="1:21" x14ac:dyDescent="0.3">
      <c r="A58" s="153"/>
      <c r="U58" s="154"/>
    </row>
    <row r="59" spans="1:21" x14ac:dyDescent="0.3">
      <c r="A59" s="190"/>
      <c r="B59" s="183"/>
      <c r="U59" s="154"/>
    </row>
    <row r="60" spans="1:21" x14ac:dyDescent="0.3">
      <c r="A60" s="191" t="s">
        <v>309</v>
      </c>
      <c r="B60" s="188" t="s">
        <v>306</v>
      </c>
      <c r="C60" s="188"/>
      <c r="D60" s="188"/>
      <c r="E60" s="188"/>
      <c r="F60" s="188"/>
      <c r="G60" s="188"/>
      <c r="U60" s="154"/>
    </row>
    <row r="61" spans="1:21" x14ac:dyDescent="0.3">
      <c r="A61" s="190"/>
      <c r="B61" s="183"/>
      <c r="U61" s="154"/>
    </row>
    <row r="62" spans="1:21" x14ac:dyDescent="0.3">
      <c r="A62" s="190"/>
      <c r="B62" s="183"/>
      <c r="U62" s="154"/>
    </row>
    <row r="63" spans="1:21" x14ac:dyDescent="0.3">
      <c r="A63" s="190"/>
      <c r="B63" s="183"/>
      <c r="U63" s="154"/>
    </row>
    <row r="64" spans="1:21" x14ac:dyDescent="0.3">
      <c r="A64" s="190"/>
      <c r="B64" s="183"/>
      <c r="U64" s="154"/>
    </row>
    <row r="65" spans="1:21" x14ac:dyDescent="0.3">
      <c r="A65" s="190"/>
      <c r="B65" s="183"/>
      <c r="U65" s="154"/>
    </row>
    <row r="66" spans="1:21" ht="15" thickBot="1" x14ac:dyDescent="0.35">
      <c r="A66" s="193"/>
      <c r="B66" s="18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8"/>
    </row>
    <row r="67" spans="1:21" x14ac:dyDescent="0.3">
      <c r="A67" s="198"/>
      <c r="B67" s="199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5"/>
    </row>
    <row r="68" spans="1:21" x14ac:dyDescent="0.3">
      <c r="A68" s="200"/>
      <c r="B68" s="201" t="s">
        <v>359</v>
      </c>
      <c r="C68" s="202"/>
      <c r="D68" s="202"/>
      <c r="E68" s="202"/>
      <c r="F68" s="202"/>
      <c r="G68" s="202"/>
      <c r="U68" s="154"/>
    </row>
    <row r="69" spans="1:21" x14ac:dyDescent="0.3">
      <c r="A69" s="200"/>
      <c r="B69" s="201" t="s">
        <v>302</v>
      </c>
      <c r="C69" s="202"/>
      <c r="D69" s="202"/>
      <c r="E69" s="202"/>
      <c r="F69" s="202"/>
      <c r="G69" s="202"/>
      <c r="U69" s="154"/>
    </row>
    <row r="70" spans="1:21" x14ac:dyDescent="0.3">
      <c r="A70" s="153"/>
      <c r="U70" s="154"/>
    </row>
    <row r="71" spans="1:21" x14ac:dyDescent="0.3">
      <c r="A71" s="191" t="s">
        <v>311</v>
      </c>
      <c r="B71" s="188" t="s">
        <v>303</v>
      </c>
      <c r="C71" s="188"/>
      <c r="D71" s="188"/>
      <c r="E71" s="188"/>
      <c r="F71" s="188"/>
      <c r="G71" s="188"/>
      <c r="U71" s="154"/>
    </row>
    <row r="72" spans="1:21" x14ac:dyDescent="0.3">
      <c r="A72" s="153"/>
      <c r="U72" s="154"/>
    </row>
    <row r="73" spans="1:21" x14ac:dyDescent="0.3">
      <c r="A73" s="153"/>
      <c r="U73" s="154"/>
    </row>
    <row r="74" spans="1:21" x14ac:dyDescent="0.3">
      <c r="A74" s="153"/>
      <c r="U74" s="154"/>
    </row>
    <row r="75" spans="1:21" x14ac:dyDescent="0.3">
      <c r="A75" s="153"/>
      <c r="U75" s="154"/>
    </row>
    <row r="76" spans="1:21" x14ac:dyDescent="0.3">
      <c r="A76" s="191" t="s">
        <v>312</v>
      </c>
      <c r="B76" s="203" t="s">
        <v>363</v>
      </c>
      <c r="C76" s="188"/>
      <c r="D76" s="188"/>
      <c r="E76" s="203"/>
      <c r="F76" s="188"/>
      <c r="G76" s="188"/>
      <c r="U76" s="154"/>
    </row>
    <row r="77" spans="1:21" x14ac:dyDescent="0.3">
      <c r="B77" s="203" t="s">
        <v>364</v>
      </c>
      <c r="C77" s="188"/>
      <c r="D77" s="188"/>
      <c r="E77" s="188"/>
      <c r="F77" s="188"/>
      <c r="G77" s="188"/>
      <c r="U77" s="154"/>
    </row>
    <row r="78" spans="1:21" x14ac:dyDescent="0.3">
      <c r="A78" s="153"/>
      <c r="B78" s="204"/>
      <c r="E78" s="2"/>
      <c r="U78" s="154"/>
    </row>
    <row r="79" spans="1:21" x14ac:dyDescent="0.3">
      <c r="A79" s="153"/>
      <c r="B79" s="204"/>
      <c r="E79" s="2"/>
      <c r="U79" s="154"/>
    </row>
    <row r="80" spans="1:21" x14ac:dyDescent="0.3">
      <c r="U80" s="154"/>
    </row>
    <row r="81" spans="1:21" x14ac:dyDescent="0.3">
      <c r="A81" s="191" t="s">
        <v>313</v>
      </c>
      <c r="B81" s="203" t="s">
        <v>318</v>
      </c>
      <c r="C81" s="188"/>
      <c r="D81" s="188"/>
      <c r="E81" s="203"/>
      <c r="F81" s="188"/>
      <c r="G81" s="188"/>
      <c r="U81" s="154"/>
    </row>
    <row r="82" spans="1:21" x14ac:dyDescent="0.3">
      <c r="A82" s="153"/>
      <c r="B82" s="203" t="s">
        <v>365</v>
      </c>
      <c r="C82" s="188"/>
      <c r="D82" s="188"/>
      <c r="E82" s="203"/>
      <c r="F82" s="188"/>
      <c r="G82" s="188"/>
      <c r="U82" s="154"/>
    </row>
    <row r="83" spans="1:21" x14ac:dyDescent="0.3">
      <c r="A83" s="153"/>
      <c r="U83" s="154"/>
    </row>
    <row r="84" spans="1:21" x14ac:dyDescent="0.3">
      <c r="A84" s="153"/>
      <c r="U84" s="154"/>
    </row>
    <row r="85" spans="1:21" x14ac:dyDescent="0.3">
      <c r="A85" s="153"/>
      <c r="U85" s="154"/>
    </row>
    <row r="86" spans="1:21" x14ac:dyDescent="0.3">
      <c r="A86" s="153"/>
      <c r="U86" s="154"/>
    </row>
    <row r="87" spans="1:21" x14ac:dyDescent="0.3">
      <c r="A87" s="153"/>
      <c r="U87" s="154"/>
    </row>
    <row r="88" spans="1:21" x14ac:dyDescent="0.3">
      <c r="A88" s="153"/>
      <c r="U88" s="154"/>
    </row>
    <row r="89" spans="1:21" x14ac:dyDescent="0.3">
      <c r="A89" s="191" t="s">
        <v>314</v>
      </c>
      <c r="B89" s="188" t="s">
        <v>57</v>
      </c>
      <c r="C89" s="188"/>
      <c r="D89" s="188"/>
      <c r="E89" s="188"/>
      <c r="F89" s="188"/>
      <c r="G89" s="188"/>
      <c r="U89" s="154"/>
    </row>
    <row r="90" spans="1:21" x14ac:dyDescent="0.3">
      <c r="A90" s="153"/>
      <c r="U90" s="154"/>
    </row>
    <row r="91" spans="1:21" x14ac:dyDescent="0.3">
      <c r="A91" s="153"/>
      <c r="U91" s="154"/>
    </row>
    <row r="92" spans="1:21" ht="15" thickBot="1" x14ac:dyDescent="0.35">
      <c r="A92" s="156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8"/>
    </row>
    <row r="93" spans="1:21" x14ac:dyDescent="0.3">
      <c r="A93" s="189"/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5"/>
    </row>
    <row r="94" spans="1:21" x14ac:dyDescent="0.3">
      <c r="A94" s="200"/>
      <c r="B94" s="201" t="s">
        <v>359</v>
      </c>
      <c r="C94" s="202"/>
      <c r="D94" s="202"/>
      <c r="E94" s="202"/>
      <c r="F94" s="202"/>
      <c r="G94" s="202"/>
      <c r="U94" s="154"/>
    </row>
    <row r="95" spans="1:21" x14ac:dyDescent="0.3">
      <c r="A95" s="200"/>
      <c r="B95" s="201" t="s">
        <v>304</v>
      </c>
      <c r="C95" s="202"/>
      <c r="D95" s="202"/>
      <c r="E95" s="202"/>
      <c r="F95" s="202"/>
      <c r="G95" s="202"/>
      <c r="U95" s="154"/>
    </row>
    <row r="96" spans="1:21" x14ac:dyDescent="0.3">
      <c r="A96" s="190"/>
      <c r="U96" s="154"/>
    </row>
    <row r="97" spans="1:21" x14ac:dyDescent="0.3">
      <c r="A97" s="191" t="s">
        <v>315</v>
      </c>
      <c r="B97" s="188" t="s">
        <v>305</v>
      </c>
      <c r="C97" s="188"/>
      <c r="D97" s="188"/>
      <c r="E97" s="188"/>
      <c r="F97" s="188"/>
      <c r="G97" s="188"/>
      <c r="U97" s="154"/>
    </row>
    <row r="98" spans="1:21" x14ac:dyDescent="0.3">
      <c r="A98" s="153"/>
      <c r="U98" s="154"/>
    </row>
    <row r="99" spans="1:21" x14ac:dyDescent="0.3">
      <c r="A99" s="153"/>
      <c r="U99" s="154"/>
    </row>
    <row r="100" spans="1:21" x14ac:dyDescent="0.3">
      <c r="A100" s="153"/>
      <c r="U100" s="154"/>
    </row>
    <row r="101" spans="1:21" x14ac:dyDescent="0.3">
      <c r="A101" s="153"/>
      <c r="U101" s="154"/>
    </row>
    <row r="102" spans="1:21" x14ac:dyDescent="0.3">
      <c r="A102" s="191" t="s">
        <v>316</v>
      </c>
      <c r="B102" s="203" t="s">
        <v>363</v>
      </c>
      <c r="C102" s="188"/>
      <c r="D102" s="188"/>
      <c r="E102" s="203"/>
      <c r="F102" s="188"/>
      <c r="G102" s="188"/>
      <c r="U102" s="154"/>
    </row>
    <row r="103" spans="1:21" x14ac:dyDescent="0.3">
      <c r="A103" s="153"/>
      <c r="B103" s="203" t="s">
        <v>364</v>
      </c>
      <c r="C103" s="188"/>
      <c r="D103" s="188"/>
      <c r="E103" s="188"/>
      <c r="F103" s="188"/>
      <c r="G103" s="188"/>
      <c r="U103" s="154"/>
    </row>
    <row r="104" spans="1:21" x14ac:dyDescent="0.3">
      <c r="A104" s="153"/>
      <c r="B104" s="204"/>
      <c r="E104" s="2"/>
      <c r="U104" s="154"/>
    </row>
    <row r="105" spans="1:21" x14ac:dyDescent="0.3">
      <c r="A105" s="153"/>
      <c r="B105" s="204"/>
      <c r="E105" s="2"/>
      <c r="U105" s="154"/>
    </row>
    <row r="106" spans="1:21" x14ac:dyDescent="0.3">
      <c r="A106" s="153"/>
      <c r="U106" s="154"/>
    </row>
    <row r="107" spans="1:21" x14ac:dyDescent="0.3">
      <c r="A107" s="191" t="s">
        <v>317</v>
      </c>
      <c r="B107" s="203" t="s">
        <v>366</v>
      </c>
      <c r="C107" s="188"/>
      <c r="D107" s="188"/>
      <c r="E107" s="203"/>
      <c r="F107" s="188"/>
      <c r="G107" s="188"/>
      <c r="U107" s="154"/>
    </row>
    <row r="108" spans="1:21" x14ac:dyDescent="0.3">
      <c r="A108" s="153"/>
      <c r="B108" s="203" t="s">
        <v>365</v>
      </c>
      <c r="C108" s="188"/>
      <c r="D108" s="188"/>
      <c r="E108" s="203"/>
      <c r="F108" s="188"/>
      <c r="G108" s="188"/>
      <c r="U108" s="154"/>
    </row>
    <row r="109" spans="1:21" x14ac:dyDescent="0.3">
      <c r="A109" s="153"/>
      <c r="U109" s="154"/>
    </row>
    <row r="110" spans="1:21" x14ac:dyDescent="0.3">
      <c r="A110" s="153"/>
      <c r="U110" s="154"/>
    </row>
    <row r="111" spans="1:21" x14ac:dyDescent="0.3">
      <c r="A111" s="153"/>
      <c r="U111" s="154"/>
    </row>
    <row r="112" spans="1:21" x14ac:dyDescent="0.3">
      <c r="A112" s="153"/>
      <c r="U112" s="154"/>
    </row>
    <row r="113" spans="1:21" x14ac:dyDescent="0.3">
      <c r="A113" s="153"/>
      <c r="U113" s="154"/>
    </row>
    <row r="114" spans="1:21" x14ac:dyDescent="0.3">
      <c r="A114" s="191" t="s">
        <v>319</v>
      </c>
      <c r="B114" s="188" t="s">
        <v>57</v>
      </c>
      <c r="C114" s="188"/>
      <c r="D114" s="188"/>
      <c r="E114" s="188"/>
      <c r="F114" s="188"/>
      <c r="G114" s="188"/>
      <c r="U114" s="154"/>
    </row>
    <row r="115" spans="1:21" x14ac:dyDescent="0.3">
      <c r="A115" s="153"/>
      <c r="U115" s="154"/>
    </row>
    <row r="116" spans="1:21" ht="15" thickBot="1" x14ac:dyDescent="0.35">
      <c r="A116" s="156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8"/>
    </row>
    <row r="118" spans="1:21" x14ac:dyDescent="0.3">
      <c r="A118" s="205" t="s">
        <v>320</v>
      </c>
      <c r="B118" s="205" t="s">
        <v>321</v>
      </c>
      <c r="C118" s="206"/>
      <c r="D118" s="113"/>
      <c r="E118" s="113"/>
      <c r="F118" s="113"/>
      <c r="G118" s="113"/>
      <c r="H118" s="113"/>
      <c r="I118" s="113"/>
      <c r="J118" s="113"/>
    </row>
    <row r="119" spans="1:21" x14ac:dyDescent="0.3">
      <c r="A119" s="206"/>
      <c r="B119" s="205" t="s">
        <v>322</v>
      </c>
      <c r="C119" s="206"/>
      <c r="D119" s="113"/>
      <c r="E119" s="113"/>
      <c r="F119" s="113"/>
      <c r="G119" s="113"/>
      <c r="H119" s="113"/>
      <c r="I119" s="113"/>
      <c r="J119" s="113"/>
    </row>
    <row r="120" spans="1:21" x14ac:dyDescent="0.3">
      <c r="A120" s="206"/>
      <c r="B120" s="205" t="s">
        <v>357</v>
      </c>
      <c r="C120" s="206"/>
      <c r="D120" s="113"/>
      <c r="E120" s="113"/>
      <c r="F120" s="113"/>
      <c r="G120" s="113"/>
      <c r="H120" s="113"/>
      <c r="I120" s="113"/>
      <c r="J120" s="113"/>
    </row>
    <row r="121" spans="1:21" x14ac:dyDescent="0.3">
      <c r="A121" s="113"/>
      <c r="B121" s="205" t="s">
        <v>323</v>
      </c>
      <c r="C121" s="113"/>
      <c r="D121" s="113"/>
      <c r="E121" s="113"/>
      <c r="F121" s="113"/>
      <c r="G121" s="113"/>
      <c r="H121" s="113"/>
      <c r="I121" s="113"/>
      <c r="J121" s="113"/>
    </row>
    <row r="122" spans="1:21" x14ac:dyDescent="0.3">
      <c r="A122" s="113"/>
      <c r="B122" s="205" t="s">
        <v>324</v>
      </c>
      <c r="C122" s="113"/>
      <c r="D122" s="113"/>
      <c r="E122" s="113"/>
      <c r="F122" s="113"/>
      <c r="G122" s="113"/>
      <c r="H122" s="113"/>
      <c r="I122" s="113"/>
      <c r="J122" s="113"/>
    </row>
    <row r="123" spans="1:21" x14ac:dyDescent="0.3">
      <c r="B123" s="205" t="s">
        <v>325</v>
      </c>
    </row>
  </sheetData>
  <sheetProtection algorithmName="SHA-512" hashValue="MhDQgoU5Z/axu5i1RPVcJqhp/z77n6e63TsyfVn+ZWvvOQQ7f6y6O1vmQiw7teKg/4qWeWq0g/zu/ykqZju7Zw==" saltValue="V0yD0L6GzWDWk2A6S2w1XA==" spinCount="100000" sheet="1" selectLockedCells="1"/>
  <phoneticPr fontId="5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B434-183C-4508-98AC-9D3D0C91D240}">
  <dimension ref="A1:L83"/>
  <sheetViews>
    <sheetView zoomScaleNormal="100" workbookViewId="0">
      <selection activeCell="B6" sqref="B6"/>
    </sheetView>
  </sheetViews>
  <sheetFormatPr defaultColWidth="8.5546875" defaultRowHeight="14.4" x14ac:dyDescent="0.3"/>
  <cols>
    <col min="1" max="1" width="8.5546875" style="218"/>
    <col min="2" max="2" width="17.44140625" style="218" customWidth="1"/>
    <col min="3" max="3" width="17.5546875" style="218" customWidth="1"/>
    <col min="4" max="4" width="17.44140625" style="218" customWidth="1"/>
    <col min="5" max="5" width="18.5546875" style="218" customWidth="1"/>
    <col min="6" max="6" width="17.44140625" style="218" customWidth="1"/>
    <col min="7" max="8" width="18.44140625" style="218" customWidth="1"/>
    <col min="9" max="9" width="8.5546875" style="218"/>
    <col min="10" max="10" width="17.44140625" style="218" customWidth="1"/>
    <col min="11" max="11" width="12.5546875" style="218" customWidth="1"/>
    <col min="12" max="16384" width="8.5546875" style="218"/>
  </cols>
  <sheetData>
    <row r="1" spans="1:6" ht="44.4" customHeight="1" thickBot="1" x14ac:dyDescent="0.35">
      <c r="B1" s="282" t="s">
        <v>367</v>
      </c>
      <c r="C1" s="283"/>
      <c r="D1" s="283"/>
      <c r="E1" s="283"/>
      <c r="F1" s="284"/>
    </row>
    <row r="2" spans="1:6" ht="24.9" customHeight="1" x14ac:dyDescent="0.3"/>
    <row r="3" spans="1:6" ht="18" x14ac:dyDescent="0.35">
      <c r="A3" s="219" t="s">
        <v>1</v>
      </c>
      <c r="B3" s="219"/>
      <c r="C3" s="219"/>
      <c r="D3" s="220"/>
      <c r="E3" s="220"/>
      <c r="F3" s="220"/>
    </row>
    <row r="4" spans="1:6" x14ac:dyDescent="0.3">
      <c r="B4" s="221"/>
    </row>
    <row r="5" spans="1:6" ht="15" thickBot="1" x14ac:dyDescent="0.35">
      <c r="B5" s="218" t="s">
        <v>2</v>
      </c>
      <c r="D5" s="218" t="s">
        <v>3</v>
      </c>
      <c r="F5" s="218" t="s">
        <v>4</v>
      </c>
    </row>
    <row r="6" spans="1:6" ht="15" customHeight="1" thickBot="1" x14ac:dyDescent="0.35">
      <c r="B6" s="222"/>
      <c r="D6" s="222"/>
      <c r="F6" s="222"/>
    </row>
    <row r="7" spans="1:6" ht="15" customHeight="1" x14ac:dyDescent="0.3"/>
    <row r="8" spans="1:6" ht="15" customHeight="1" thickBot="1" x14ac:dyDescent="0.35">
      <c r="B8" s="218" t="s">
        <v>5</v>
      </c>
    </row>
    <row r="9" spans="1:6" ht="15" customHeight="1" thickBot="1" x14ac:dyDescent="0.35">
      <c r="B9" s="285"/>
      <c r="C9" s="286"/>
      <c r="D9" s="286"/>
      <c r="E9" s="286"/>
      <c r="F9" s="287"/>
    </row>
    <row r="10" spans="1:6" ht="15" customHeight="1" x14ac:dyDescent="0.3"/>
    <row r="11" spans="1:6" ht="15" thickBot="1" x14ac:dyDescent="0.35">
      <c r="B11" s="218" t="s">
        <v>6</v>
      </c>
    </row>
    <row r="12" spans="1:6" ht="15" thickBot="1" x14ac:dyDescent="0.35">
      <c r="B12" s="285"/>
      <c r="C12" s="286"/>
      <c r="D12" s="286"/>
      <c r="E12" s="286"/>
      <c r="F12" s="287"/>
    </row>
    <row r="13" spans="1:6" ht="15" customHeight="1" x14ac:dyDescent="0.3"/>
    <row r="14" spans="1:6" x14ac:dyDescent="0.3">
      <c r="B14" s="218" t="s">
        <v>7</v>
      </c>
    </row>
    <row r="15" spans="1:6" ht="15" thickBot="1" x14ac:dyDescent="0.35">
      <c r="B15" s="218" t="s">
        <v>8</v>
      </c>
      <c r="D15" s="218" t="s">
        <v>9</v>
      </c>
      <c r="F15" s="218" t="s">
        <v>10</v>
      </c>
    </row>
    <row r="16" spans="1:6" ht="15" thickBot="1" x14ac:dyDescent="0.35">
      <c r="B16" s="222"/>
      <c r="D16" s="222"/>
      <c r="F16" s="222"/>
    </row>
    <row r="17" spans="1:12" ht="7.5" customHeight="1" x14ac:dyDescent="0.3"/>
    <row r="18" spans="1:12" ht="15" thickBot="1" x14ac:dyDescent="0.35">
      <c r="B18" s="218" t="s">
        <v>11</v>
      </c>
      <c r="D18" s="218" t="s">
        <v>12</v>
      </c>
      <c r="F18" s="218" t="s">
        <v>13</v>
      </c>
    </row>
    <row r="19" spans="1:12" ht="15" thickBot="1" x14ac:dyDescent="0.35">
      <c r="B19" s="222"/>
      <c r="D19" s="223"/>
      <c r="F19" s="222"/>
    </row>
    <row r="20" spans="1:12" ht="15" customHeight="1" x14ac:dyDescent="0.3"/>
    <row r="21" spans="1:12" x14ac:dyDescent="0.3">
      <c r="B21" s="218" t="s">
        <v>14</v>
      </c>
    </row>
    <row r="22" spans="1:12" ht="15" thickBot="1" x14ac:dyDescent="0.35">
      <c r="B22" s="218" t="s">
        <v>15</v>
      </c>
      <c r="D22" s="218" t="s">
        <v>16</v>
      </c>
    </row>
    <row r="23" spans="1:12" ht="15" thickBot="1" x14ac:dyDescent="0.35">
      <c r="B23" s="222"/>
      <c r="D23" s="222"/>
    </row>
    <row r="24" spans="1:12" ht="15" customHeight="1" x14ac:dyDescent="0.3">
      <c r="B24" s="224"/>
      <c r="F24" s="225"/>
    </row>
    <row r="25" spans="1:12" ht="15" thickBot="1" x14ac:dyDescent="0.35">
      <c r="B25" s="218" t="s">
        <v>19</v>
      </c>
      <c r="F25" s="225"/>
    </row>
    <row r="26" spans="1:12" ht="15" thickBot="1" x14ac:dyDescent="0.35">
      <c r="B26" s="288"/>
      <c r="C26" s="289"/>
      <c r="F26" s="225"/>
    </row>
    <row r="27" spans="1:12" ht="15" customHeight="1" x14ac:dyDescent="0.3"/>
    <row r="28" spans="1:12" ht="15" thickBot="1" x14ac:dyDescent="0.35">
      <c r="B28" s="218" t="s">
        <v>20</v>
      </c>
    </row>
    <row r="29" spans="1:12" ht="15" thickBot="1" x14ac:dyDescent="0.35">
      <c r="B29" s="285"/>
      <c r="C29" s="286"/>
      <c r="D29" s="286"/>
      <c r="E29" s="286"/>
      <c r="F29" s="287"/>
    </row>
    <row r="32" spans="1:12" ht="18" x14ac:dyDescent="0.35">
      <c r="A32" s="219" t="s">
        <v>368</v>
      </c>
      <c r="B32" s="226"/>
      <c r="C32" s="227"/>
      <c r="D32" s="227"/>
      <c r="E32" s="227"/>
      <c r="F32" s="228"/>
      <c r="G32" s="229"/>
      <c r="H32" s="229"/>
      <c r="I32" s="229"/>
      <c r="L32" s="230"/>
    </row>
    <row r="33" spans="2:12" ht="15" thickBot="1" x14ac:dyDescent="0.35">
      <c r="B33" s="231" t="s">
        <v>26</v>
      </c>
      <c r="C33" s="231"/>
      <c r="D33" s="231" t="s">
        <v>27</v>
      </c>
      <c r="E33" s="231"/>
      <c r="F33" s="232"/>
      <c r="L33" s="230"/>
    </row>
    <row r="34" spans="2:12" ht="15" thickBot="1" x14ac:dyDescent="0.35">
      <c r="B34" s="233"/>
      <c r="C34" s="231"/>
      <c r="D34" s="233"/>
      <c r="E34" s="231"/>
      <c r="F34" s="232"/>
      <c r="L34" s="230"/>
    </row>
    <row r="35" spans="2:12" x14ac:dyDescent="0.3">
      <c r="B35" s="234"/>
      <c r="C35" s="231"/>
      <c r="D35" s="231"/>
      <c r="E35" s="231"/>
      <c r="F35" s="232"/>
      <c r="L35" s="230"/>
    </row>
    <row r="36" spans="2:12" ht="15" thickBot="1" x14ac:dyDescent="0.35">
      <c r="B36" s="231" t="s">
        <v>29</v>
      </c>
      <c r="C36" s="231"/>
      <c r="D36" s="231" t="s">
        <v>30</v>
      </c>
      <c r="E36" s="231"/>
      <c r="F36" s="232"/>
      <c r="L36" s="230"/>
    </row>
    <row r="37" spans="2:12" ht="15" thickBot="1" x14ac:dyDescent="0.35">
      <c r="B37" s="233"/>
      <c r="C37" s="231"/>
      <c r="D37" s="233"/>
      <c r="E37" s="231"/>
      <c r="F37" s="232"/>
      <c r="L37" s="230"/>
    </row>
    <row r="38" spans="2:12" x14ac:dyDescent="0.3">
      <c r="B38" s="234"/>
      <c r="C38" s="231"/>
      <c r="D38" s="231"/>
      <c r="E38" s="231"/>
      <c r="F38" s="232"/>
      <c r="L38" s="230"/>
    </row>
    <row r="39" spans="2:12" ht="15" thickBot="1" x14ac:dyDescent="0.35">
      <c r="B39" s="231" t="s">
        <v>31</v>
      </c>
      <c r="C39" s="231"/>
      <c r="D39" s="231" t="s">
        <v>32</v>
      </c>
      <c r="E39" s="231"/>
      <c r="F39" s="232"/>
      <c r="L39" s="230"/>
    </row>
    <row r="40" spans="2:12" ht="15" thickBot="1" x14ac:dyDescent="0.35">
      <c r="B40" s="233"/>
      <c r="C40" s="231"/>
      <c r="D40" s="233"/>
      <c r="E40" s="231"/>
      <c r="F40" s="232"/>
      <c r="L40" s="230"/>
    </row>
    <row r="41" spans="2:12" x14ac:dyDescent="0.3">
      <c r="B41" s="234"/>
      <c r="C41" s="231"/>
      <c r="D41" s="231"/>
      <c r="E41" s="231"/>
      <c r="F41" s="232"/>
      <c r="L41" s="230"/>
    </row>
    <row r="42" spans="2:12" ht="15" thickBot="1" x14ac:dyDescent="0.35">
      <c r="B42" s="231" t="s">
        <v>33</v>
      </c>
      <c r="C42" s="231"/>
      <c r="D42" s="231" t="s">
        <v>34</v>
      </c>
      <c r="E42" s="231"/>
      <c r="F42" s="232"/>
      <c r="L42" s="230"/>
    </row>
    <row r="43" spans="2:12" ht="15" thickBot="1" x14ac:dyDescent="0.35">
      <c r="B43" s="233"/>
      <c r="C43" s="231"/>
      <c r="D43" s="233"/>
      <c r="E43" s="231"/>
      <c r="F43" s="232"/>
      <c r="L43" s="230"/>
    </row>
    <row r="44" spans="2:12" x14ac:dyDescent="0.3">
      <c r="B44" s="234"/>
      <c r="C44" s="231"/>
      <c r="D44" s="231"/>
      <c r="E44" s="231"/>
      <c r="F44" s="232"/>
      <c r="L44" s="230"/>
    </row>
    <row r="45" spans="2:12" ht="15" thickBot="1" x14ac:dyDescent="0.35">
      <c r="B45" s="231" t="s">
        <v>35</v>
      </c>
      <c r="C45" s="231"/>
      <c r="D45" s="231" t="s">
        <v>36</v>
      </c>
      <c r="E45" s="231"/>
      <c r="F45" s="232"/>
      <c r="L45" s="230"/>
    </row>
    <row r="46" spans="2:12" ht="15" thickBot="1" x14ac:dyDescent="0.35">
      <c r="B46" s="233"/>
      <c r="C46" s="231"/>
      <c r="D46" s="233"/>
      <c r="E46" s="231"/>
      <c r="F46" s="232"/>
      <c r="L46" s="230"/>
    </row>
    <row r="47" spans="2:12" x14ac:dyDescent="0.3">
      <c r="B47" s="234"/>
      <c r="C47" s="231"/>
      <c r="D47" s="231"/>
      <c r="E47" s="231"/>
      <c r="F47" s="232"/>
      <c r="L47" s="230"/>
    </row>
    <row r="48" spans="2:12" ht="15" thickBot="1" x14ac:dyDescent="0.35">
      <c r="B48" s="231" t="s">
        <v>37</v>
      </c>
      <c r="C48" s="231"/>
      <c r="D48" s="231" t="s">
        <v>38</v>
      </c>
      <c r="E48" s="231"/>
      <c r="F48" s="232"/>
      <c r="L48" s="230"/>
    </row>
    <row r="49" spans="1:12" ht="15" thickBot="1" x14ac:dyDescent="0.35">
      <c r="B49" s="233"/>
      <c r="C49" s="231"/>
      <c r="D49" s="233"/>
      <c r="E49" s="231"/>
      <c r="F49" s="232"/>
      <c r="L49" s="230"/>
    </row>
    <row r="50" spans="1:12" x14ac:dyDescent="0.3">
      <c r="B50" s="234"/>
      <c r="C50" s="231"/>
      <c r="D50" s="231"/>
      <c r="E50" s="231"/>
      <c r="F50" s="232"/>
      <c r="L50" s="230"/>
    </row>
    <row r="51" spans="1:12" ht="15" thickBot="1" x14ac:dyDescent="0.35">
      <c r="B51" s="231" t="s">
        <v>39</v>
      </c>
      <c r="C51" s="231"/>
      <c r="D51" s="231" t="s">
        <v>40</v>
      </c>
      <c r="E51" s="231"/>
      <c r="F51" s="232"/>
      <c r="L51" s="230"/>
    </row>
    <row r="52" spans="1:12" ht="15" thickBot="1" x14ac:dyDescent="0.35">
      <c r="B52" s="233"/>
      <c r="C52" s="231"/>
      <c r="D52" s="233"/>
      <c r="E52" s="231"/>
      <c r="F52" s="232"/>
      <c r="L52" s="230"/>
    </row>
    <row r="53" spans="1:12" x14ac:dyDescent="0.3">
      <c r="B53" s="234"/>
      <c r="C53" s="231"/>
      <c r="D53" s="231"/>
      <c r="E53" s="231"/>
      <c r="F53" s="232"/>
      <c r="L53" s="230"/>
    </row>
    <row r="54" spans="1:12" ht="15" thickBot="1" x14ac:dyDescent="0.35">
      <c r="B54" s="231" t="s">
        <v>41</v>
      </c>
      <c r="C54" s="231"/>
      <c r="D54" s="231" t="s">
        <v>42</v>
      </c>
      <c r="E54" s="231"/>
      <c r="F54" s="232"/>
      <c r="L54" s="230"/>
    </row>
    <row r="55" spans="1:12" ht="15" thickBot="1" x14ac:dyDescent="0.35">
      <c r="B55" s="233"/>
      <c r="C55" s="231"/>
      <c r="D55" s="233"/>
      <c r="E55" s="231"/>
      <c r="F55" s="232"/>
      <c r="L55" s="230"/>
    </row>
    <row r="56" spans="1:12" x14ac:dyDescent="0.3">
      <c r="B56" s="234"/>
      <c r="C56" s="231"/>
      <c r="D56" s="231"/>
      <c r="E56" s="231"/>
      <c r="F56" s="232"/>
      <c r="L56" s="230"/>
    </row>
    <row r="57" spans="1:12" ht="15" thickBot="1" x14ac:dyDescent="0.35">
      <c r="B57" s="231" t="s">
        <v>43</v>
      </c>
      <c r="C57" s="231"/>
      <c r="D57" s="231" t="s">
        <v>44</v>
      </c>
      <c r="E57" s="231"/>
      <c r="F57" s="232"/>
      <c r="L57" s="230"/>
    </row>
    <row r="58" spans="1:12" ht="15" thickBot="1" x14ac:dyDescent="0.35">
      <c r="B58" s="233"/>
      <c r="C58" s="231"/>
      <c r="D58" s="233"/>
      <c r="E58" s="231"/>
      <c r="F58" s="232"/>
      <c r="L58" s="230"/>
    </row>
    <row r="59" spans="1:12" x14ac:dyDescent="0.3">
      <c r="B59" s="234"/>
      <c r="C59" s="231"/>
      <c r="D59" s="231"/>
      <c r="E59" s="231"/>
      <c r="F59" s="232"/>
      <c r="L59" s="230"/>
    </row>
    <row r="60" spans="1:12" ht="15" thickBot="1" x14ac:dyDescent="0.35">
      <c r="B60" s="231" t="s">
        <v>45</v>
      </c>
      <c r="C60" s="231"/>
      <c r="D60" s="231" t="s">
        <v>46</v>
      </c>
      <c r="E60" s="231"/>
      <c r="F60" s="232"/>
      <c r="L60" s="230"/>
    </row>
    <row r="61" spans="1:12" ht="15" thickBot="1" x14ac:dyDescent="0.35">
      <c r="B61" s="233"/>
      <c r="C61" s="231"/>
      <c r="D61" s="233"/>
      <c r="E61" s="231"/>
      <c r="F61" s="232"/>
      <c r="L61" s="230"/>
    </row>
    <row r="62" spans="1:12" ht="24.9" customHeight="1" x14ac:dyDescent="0.3">
      <c r="B62" s="231"/>
      <c r="C62" s="231"/>
      <c r="D62" s="231"/>
      <c r="E62" s="231"/>
      <c r="F62" s="231"/>
    </row>
    <row r="63" spans="1:12" ht="18.75" customHeight="1" x14ac:dyDescent="0.35">
      <c r="A63" s="219" t="s">
        <v>47</v>
      </c>
      <c r="B63" s="235"/>
      <c r="C63" s="235"/>
      <c r="D63" s="235"/>
      <c r="E63" s="235"/>
      <c r="F63" s="235"/>
    </row>
    <row r="64" spans="1:12" ht="15.75" customHeight="1" x14ac:dyDescent="0.3">
      <c r="B64" s="231"/>
      <c r="C64" s="231"/>
      <c r="D64" s="231"/>
      <c r="E64" s="231"/>
      <c r="F64" s="231"/>
    </row>
    <row r="65" spans="2:8" ht="39.9" customHeight="1" x14ac:dyDescent="0.3">
      <c r="B65" s="281" t="s">
        <v>48</v>
      </c>
      <c r="C65" s="281"/>
      <c r="D65" s="281"/>
      <c r="E65" s="281"/>
      <c r="F65" s="281"/>
      <c r="G65" s="236" t="s">
        <v>49</v>
      </c>
      <c r="H65" s="237"/>
    </row>
    <row r="66" spans="2:8" ht="39.9" customHeight="1" x14ac:dyDescent="0.3">
      <c r="B66" s="281" t="s">
        <v>327</v>
      </c>
      <c r="C66" s="281"/>
      <c r="D66" s="281"/>
      <c r="E66" s="281"/>
      <c r="F66" s="281"/>
      <c r="G66" s="236" t="s">
        <v>49</v>
      </c>
      <c r="H66" s="237"/>
    </row>
    <row r="67" spans="2:8" ht="39.9" customHeight="1" x14ac:dyDescent="0.3">
      <c r="B67" s="281" t="s">
        <v>328</v>
      </c>
      <c r="C67" s="281"/>
      <c r="D67" s="281"/>
      <c r="E67" s="281"/>
      <c r="F67" s="281"/>
      <c r="G67" s="236" t="s">
        <v>49</v>
      </c>
      <c r="H67" s="237"/>
    </row>
    <row r="68" spans="2:8" ht="39.9" customHeight="1" x14ac:dyDescent="0.3">
      <c r="B68" s="281" t="s">
        <v>329</v>
      </c>
      <c r="C68" s="281"/>
      <c r="D68" s="281"/>
      <c r="E68" s="281"/>
      <c r="F68" s="281"/>
      <c r="G68" s="236" t="s">
        <v>49</v>
      </c>
      <c r="H68" s="237"/>
    </row>
    <row r="69" spans="2:8" ht="45.9" customHeight="1" x14ac:dyDescent="0.3">
      <c r="B69" s="281" t="s">
        <v>54</v>
      </c>
      <c r="C69" s="281"/>
      <c r="D69" s="281"/>
      <c r="E69" s="281"/>
      <c r="F69" s="281"/>
      <c r="G69" s="236" t="s">
        <v>49</v>
      </c>
      <c r="H69" s="237"/>
    </row>
    <row r="70" spans="2:8" ht="39.9" customHeight="1" x14ac:dyDescent="0.3">
      <c r="B70" s="281" t="s">
        <v>330</v>
      </c>
      <c r="C70" s="281"/>
      <c r="D70" s="281"/>
      <c r="E70" s="281"/>
      <c r="F70" s="281"/>
      <c r="G70" s="236" t="s">
        <v>49</v>
      </c>
      <c r="H70" s="237"/>
    </row>
    <row r="71" spans="2:8" ht="39.9" customHeight="1" x14ac:dyDescent="0.3">
      <c r="B71" s="281" t="s">
        <v>331</v>
      </c>
      <c r="C71" s="281"/>
      <c r="D71" s="281"/>
      <c r="E71" s="281"/>
      <c r="F71" s="281"/>
      <c r="G71" s="236" t="s">
        <v>49</v>
      </c>
      <c r="H71" s="237"/>
    </row>
    <row r="72" spans="2:8" ht="39.9" customHeight="1" x14ac:dyDescent="0.3">
      <c r="B72" s="281" t="s">
        <v>56</v>
      </c>
      <c r="C72" s="281"/>
      <c r="D72" s="281"/>
      <c r="E72" s="281"/>
      <c r="F72" s="281"/>
      <c r="G72" s="236" t="s">
        <v>49</v>
      </c>
      <c r="H72" s="237"/>
    </row>
    <row r="73" spans="2:8" ht="39.9" customHeight="1" x14ac:dyDescent="0.3">
      <c r="B73" s="281" t="s">
        <v>332</v>
      </c>
      <c r="C73" s="290"/>
      <c r="D73" s="290"/>
      <c r="E73" s="290"/>
      <c r="F73" s="290"/>
      <c r="G73" s="236" t="s">
        <v>49</v>
      </c>
      <c r="H73" s="237"/>
    </row>
    <row r="74" spans="2:8" ht="39.9" customHeight="1" x14ac:dyDescent="0.3">
      <c r="B74" s="281" t="s">
        <v>333</v>
      </c>
      <c r="C74" s="281"/>
      <c r="D74" s="281"/>
      <c r="E74" s="281"/>
      <c r="F74" s="281"/>
      <c r="G74" s="236" t="s">
        <v>49</v>
      </c>
      <c r="H74" s="237"/>
    </row>
    <row r="75" spans="2:8" ht="39.9" customHeight="1" x14ac:dyDescent="0.3">
      <c r="B75" s="281" t="s">
        <v>334</v>
      </c>
      <c r="C75" s="290"/>
      <c r="D75" s="290"/>
      <c r="E75" s="290"/>
      <c r="F75" s="290"/>
      <c r="G75" s="236" t="s">
        <v>49</v>
      </c>
      <c r="H75" s="237"/>
    </row>
    <row r="76" spans="2:8" ht="39.9" customHeight="1" x14ac:dyDescent="0.3">
      <c r="B76" s="281" t="s">
        <v>335</v>
      </c>
      <c r="C76" s="290"/>
      <c r="D76" s="290"/>
      <c r="E76" s="290"/>
      <c r="F76" s="290"/>
      <c r="G76" s="236" t="s">
        <v>49</v>
      </c>
      <c r="H76" s="237"/>
    </row>
    <row r="77" spans="2:8" ht="39.9" customHeight="1" x14ac:dyDescent="0.3">
      <c r="B77" s="281" t="s">
        <v>336</v>
      </c>
      <c r="C77" s="290"/>
      <c r="D77" s="290"/>
      <c r="E77" s="290"/>
      <c r="F77" s="290"/>
      <c r="G77" s="236" t="s">
        <v>49</v>
      </c>
      <c r="H77" s="237"/>
    </row>
    <row r="78" spans="2:8" ht="39.9" customHeight="1" x14ac:dyDescent="0.3">
      <c r="B78" s="290" t="s">
        <v>337</v>
      </c>
      <c r="C78" s="290"/>
      <c r="D78" s="290"/>
      <c r="E78" s="290"/>
      <c r="F78" s="290"/>
      <c r="G78" s="236" t="s">
        <v>49</v>
      </c>
      <c r="H78" s="237"/>
    </row>
    <row r="79" spans="2:8" ht="39.9" customHeight="1" x14ac:dyDescent="0.3">
      <c r="B79" s="281" t="s">
        <v>338</v>
      </c>
      <c r="C79" s="290"/>
      <c r="D79" s="290"/>
      <c r="E79" s="290"/>
      <c r="F79" s="290"/>
      <c r="G79" s="236" t="s">
        <v>49</v>
      </c>
      <c r="H79" s="237"/>
    </row>
    <row r="80" spans="2:8" ht="39.9" customHeight="1" x14ac:dyDescent="0.3">
      <c r="B80" s="281" t="s">
        <v>339</v>
      </c>
      <c r="C80" s="290"/>
      <c r="D80" s="290"/>
      <c r="E80" s="290"/>
      <c r="F80" s="290"/>
      <c r="G80" s="236" t="s">
        <v>49</v>
      </c>
      <c r="H80" s="237"/>
    </row>
    <row r="81" spans="2:8" ht="39.9" customHeight="1" x14ac:dyDescent="0.3">
      <c r="B81" s="291" t="s">
        <v>340</v>
      </c>
      <c r="C81" s="291"/>
      <c r="D81" s="291"/>
      <c r="E81" s="291"/>
      <c r="F81" s="291"/>
      <c r="G81" s="236" t="s">
        <v>49</v>
      </c>
      <c r="H81" s="237"/>
    </row>
    <row r="82" spans="2:8" ht="24.9" customHeight="1" x14ac:dyDescent="0.3"/>
    <row r="83" spans="2:8" x14ac:dyDescent="0.3">
      <c r="B83" s="238" t="str">
        <f>IF(AND(G76="ÁNO",G77="ÁNO",G78="ÁNO",G79="ÁNO",G80="ÁNO",G81="ÁNO",G65="ÁNO",G67="ÁNO",G72="ÁNO",G73="ÁNO",G74="ÁNO",G75="ÁNO"),"","NIE SÚ VYPLNENÉ VŠETKY ČESTNÉ PREHLÁSENIA")</f>
        <v>NIE SÚ VYPLNENÉ VŠETKY ČESTNÉ PREHLÁSENIA</v>
      </c>
    </row>
  </sheetData>
  <sheetProtection algorithmName="SHA-512" hashValue="fEqOEzE2vdNRtkeh7sUHdvd1hRhPlnHlorsBLF6lhe5xFoqo9RhgP4gU8mDHRr17KL6uMGxHLeReIDy4tANitg==" saltValue="n2g3wJ6L1ArLik5l62qCVw==" spinCount="100000" sheet="1" selectLockedCells="1"/>
  <mergeCells count="22">
    <mergeCell ref="B78:F78"/>
    <mergeCell ref="B79:F79"/>
    <mergeCell ref="B80:F80"/>
    <mergeCell ref="B81:F81"/>
    <mergeCell ref="B72:F72"/>
    <mergeCell ref="B73:F73"/>
    <mergeCell ref="B74:F74"/>
    <mergeCell ref="B75:F75"/>
    <mergeCell ref="B76:F76"/>
    <mergeCell ref="B77:F77"/>
    <mergeCell ref="B71:F71"/>
    <mergeCell ref="B1:F1"/>
    <mergeCell ref="B9:F9"/>
    <mergeCell ref="B12:F12"/>
    <mergeCell ref="B26:C26"/>
    <mergeCell ref="B29:F29"/>
    <mergeCell ref="B65:F65"/>
    <mergeCell ref="B66:F66"/>
    <mergeCell ref="B67:F67"/>
    <mergeCell ref="B68:F68"/>
    <mergeCell ref="B69:F69"/>
    <mergeCell ref="B70:F70"/>
  </mergeCells>
  <dataValidations count="1">
    <dataValidation type="list" allowBlank="1" showInputMessage="1" showErrorMessage="1" prompt="ZVOLIŤ MOŽNOSŤ" sqref="G65:H81" xr:uid="{9C94387D-48F5-49C8-A075-163F30B7576F}">
      <formula1>"Zvoliť možnosť, ÁNO, NIE"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B2B5-1DFB-480E-A388-74A391B1E0DA}">
  <dimension ref="A1:N27"/>
  <sheetViews>
    <sheetView zoomScale="70" zoomScaleNormal="70" workbookViewId="0">
      <selection activeCell="B2" sqref="B2"/>
    </sheetView>
  </sheetViews>
  <sheetFormatPr defaultRowHeight="14.4" x14ac:dyDescent="0.3"/>
  <cols>
    <col min="1" max="1" width="38.33203125" customWidth="1"/>
    <col min="2" max="3" width="24.44140625" customWidth="1"/>
  </cols>
  <sheetData>
    <row r="1" spans="1:12" ht="30" customHeight="1" x14ac:dyDescent="0.3">
      <c r="A1" s="258" t="s">
        <v>369</v>
      </c>
      <c r="B1" s="176"/>
      <c r="C1" s="176"/>
      <c r="D1" s="177"/>
      <c r="E1" s="177"/>
      <c r="F1" s="177"/>
      <c r="G1" s="177"/>
      <c r="H1" s="177"/>
      <c r="I1" s="177"/>
      <c r="J1" s="177"/>
      <c r="K1" s="178"/>
      <c r="L1" s="179"/>
    </row>
    <row r="2" spans="1:12" ht="20.399999999999999" thickBot="1" x14ac:dyDescent="0.45">
      <c r="A2" s="215" t="s">
        <v>299</v>
      </c>
      <c r="B2" s="216" t="s">
        <v>358</v>
      </c>
      <c r="C2" s="180"/>
      <c r="D2" s="180"/>
      <c r="E2" s="180"/>
      <c r="F2" s="180"/>
      <c r="G2" s="180"/>
      <c r="H2" s="180"/>
      <c r="I2" s="180"/>
      <c r="J2" s="180"/>
      <c r="K2" s="181"/>
      <c r="L2" s="182"/>
    </row>
    <row r="3" spans="1:12" ht="20.399999999999999" thickBot="1" x14ac:dyDescent="0.45">
      <c r="A3" s="249"/>
      <c r="B3" s="250"/>
      <c r="C3" s="251"/>
      <c r="D3" s="251"/>
      <c r="E3" s="251"/>
      <c r="F3" s="251"/>
      <c r="G3" s="251"/>
      <c r="H3" s="251"/>
      <c r="I3" s="251"/>
      <c r="J3" s="251"/>
      <c r="K3" s="252"/>
      <c r="L3" s="253"/>
    </row>
    <row r="4" spans="1:12" x14ac:dyDescent="0.3">
      <c r="A4" s="292" t="s">
        <v>354</v>
      </c>
      <c r="B4" s="243" t="s">
        <v>341</v>
      </c>
      <c r="C4" s="239" t="s">
        <v>341</v>
      </c>
      <c r="L4" s="154"/>
    </row>
    <row r="5" spans="1:12" x14ac:dyDescent="0.3">
      <c r="A5" s="293"/>
      <c r="B5" s="244" t="s">
        <v>378</v>
      </c>
      <c r="C5" s="240" t="s">
        <v>379</v>
      </c>
      <c r="L5" s="154"/>
    </row>
    <row r="6" spans="1:12" x14ac:dyDescent="0.3">
      <c r="A6" s="245" t="s">
        <v>342</v>
      </c>
      <c r="B6" s="341">
        <f>C6/1.2</f>
        <v>0</v>
      </c>
      <c r="C6" s="241">
        <v>0</v>
      </c>
      <c r="L6" s="154"/>
    </row>
    <row r="7" spans="1:12" x14ac:dyDescent="0.3">
      <c r="A7" s="245" t="s">
        <v>343</v>
      </c>
      <c r="B7" s="341">
        <f t="shared" ref="B7:B17" si="0">C7/1.2</f>
        <v>0</v>
      </c>
      <c r="C7" s="242">
        <v>0</v>
      </c>
      <c r="L7" s="154"/>
    </row>
    <row r="8" spans="1:12" x14ac:dyDescent="0.3">
      <c r="A8" s="245" t="s">
        <v>344</v>
      </c>
      <c r="B8" s="341">
        <f t="shared" si="0"/>
        <v>0</v>
      </c>
      <c r="C8" s="242">
        <v>0</v>
      </c>
      <c r="L8" s="154"/>
    </row>
    <row r="9" spans="1:12" x14ac:dyDescent="0.3">
      <c r="A9" s="245" t="s">
        <v>345</v>
      </c>
      <c r="B9" s="341">
        <f t="shared" si="0"/>
        <v>0</v>
      </c>
      <c r="C9" s="242">
        <v>0</v>
      </c>
      <c r="L9" s="154"/>
    </row>
    <row r="10" spans="1:12" x14ac:dyDescent="0.3">
      <c r="A10" s="245" t="s">
        <v>346</v>
      </c>
      <c r="B10" s="341">
        <f t="shared" si="0"/>
        <v>0</v>
      </c>
      <c r="C10" s="242">
        <v>0</v>
      </c>
      <c r="L10" s="154"/>
    </row>
    <row r="11" spans="1:12" x14ac:dyDescent="0.3">
      <c r="A11" s="245" t="s">
        <v>347</v>
      </c>
      <c r="B11" s="341">
        <f t="shared" si="0"/>
        <v>0</v>
      </c>
      <c r="C11" s="242">
        <v>0</v>
      </c>
      <c r="G11" s="294" t="s">
        <v>371</v>
      </c>
      <c r="H11" s="294"/>
      <c r="I11" s="294"/>
      <c r="J11" s="294"/>
      <c r="K11" s="294"/>
      <c r="L11" s="295"/>
    </row>
    <row r="12" spans="1:12" x14ac:dyDescent="0.3">
      <c r="A12" s="245" t="s">
        <v>348</v>
      </c>
      <c r="B12" s="341">
        <f t="shared" si="0"/>
        <v>0</v>
      </c>
      <c r="C12" s="242">
        <v>0</v>
      </c>
      <c r="G12" s="294"/>
      <c r="H12" s="294"/>
      <c r="I12" s="294"/>
      <c r="J12" s="294"/>
      <c r="K12" s="294"/>
      <c r="L12" s="295"/>
    </row>
    <row r="13" spans="1:12" x14ac:dyDescent="0.3">
      <c r="A13" s="245" t="s">
        <v>349</v>
      </c>
      <c r="B13" s="341">
        <f t="shared" si="0"/>
        <v>0</v>
      </c>
      <c r="C13" s="242">
        <v>0</v>
      </c>
      <c r="L13" s="154"/>
    </row>
    <row r="14" spans="1:12" x14ac:dyDescent="0.3">
      <c r="A14" s="245" t="s">
        <v>350</v>
      </c>
      <c r="B14" s="341">
        <f t="shared" si="0"/>
        <v>0</v>
      </c>
      <c r="C14" s="242">
        <v>0</v>
      </c>
      <c r="L14" s="154"/>
    </row>
    <row r="15" spans="1:12" x14ac:dyDescent="0.3">
      <c r="A15" s="245" t="s">
        <v>351</v>
      </c>
      <c r="B15" s="341">
        <f t="shared" si="0"/>
        <v>0</v>
      </c>
      <c r="C15" s="242">
        <v>0</v>
      </c>
      <c r="L15" s="154"/>
    </row>
    <row r="16" spans="1:12" x14ac:dyDescent="0.3">
      <c r="A16" s="245" t="s">
        <v>352</v>
      </c>
      <c r="B16" s="341">
        <f t="shared" si="0"/>
        <v>0</v>
      </c>
      <c r="C16" s="242">
        <v>0</v>
      </c>
      <c r="L16" s="154"/>
    </row>
    <row r="17" spans="1:14" x14ac:dyDescent="0.3">
      <c r="A17" s="245" t="s">
        <v>353</v>
      </c>
      <c r="B17" s="341">
        <f t="shared" si="0"/>
        <v>0</v>
      </c>
      <c r="C17" s="242">
        <v>0</v>
      </c>
      <c r="G17" s="294"/>
      <c r="H17" s="294"/>
      <c r="I17" s="294"/>
      <c r="J17" s="294"/>
      <c r="K17" s="294"/>
      <c r="L17" s="295"/>
    </row>
    <row r="18" spans="1:14" ht="18.600000000000001" thickBot="1" x14ac:dyDescent="0.4">
      <c r="A18" s="246" t="s">
        <v>370</v>
      </c>
      <c r="B18" s="247">
        <f>SUM(B6:B17)</f>
        <v>0</v>
      </c>
      <c r="C18" s="248">
        <f>SUM(C6:C17)</f>
        <v>0</v>
      </c>
      <c r="G18" s="294"/>
      <c r="H18" s="294"/>
      <c r="I18" s="294"/>
      <c r="J18" s="294"/>
      <c r="K18" s="294"/>
      <c r="L18" s="295"/>
    </row>
    <row r="19" spans="1:14" ht="15" thickBot="1" x14ac:dyDescent="0.35">
      <c r="A19" s="156"/>
      <c r="B19" s="157"/>
      <c r="C19" s="157"/>
      <c r="L19" s="154"/>
    </row>
    <row r="20" spans="1:14" s="151" customFormat="1" ht="34.200000000000003" customHeight="1" x14ac:dyDescent="0.35">
      <c r="A20" s="170" t="s">
        <v>300</v>
      </c>
      <c r="B20" s="171" t="s">
        <v>378</v>
      </c>
      <c r="C20" s="172" t="s">
        <v>379</v>
      </c>
      <c r="D20" s="254"/>
      <c r="E20" s="254"/>
      <c r="G20" s="294" t="s">
        <v>285</v>
      </c>
      <c r="H20" s="294"/>
      <c r="I20" s="294"/>
      <c r="J20" s="294"/>
      <c r="K20" s="294"/>
      <c r="L20" s="295"/>
      <c r="N20" s="152"/>
    </row>
    <row r="21" spans="1:14" s="151" customFormat="1" ht="27" customHeight="1" thickBot="1" x14ac:dyDescent="0.4">
      <c r="A21" s="173" t="s">
        <v>372</v>
      </c>
      <c r="B21" s="174">
        <f>'Distribúcia KS v PMDS'!H227</f>
        <v>0</v>
      </c>
      <c r="C21" s="175">
        <f>'Distribúcia KS v PMDS'!J227</f>
        <v>0</v>
      </c>
      <c r="D21" s="254"/>
      <c r="E21" s="254"/>
      <c r="G21" s="294"/>
      <c r="H21" s="294"/>
      <c r="I21" s="294"/>
      <c r="J21" s="294"/>
      <c r="K21" s="294"/>
      <c r="L21" s="295"/>
      <c r="N21" s="152"/>
    </row>
    <row r="22" spans="1:14" ht="15" thickBot="1" x14ac:dyDescent="0.35">
      <c r="A22" s="153"/>
      <c r="L22" s="154"/>
    </row>
    <row r="23" spans="1:14" s="151" customFormat="1" ht="34.950000000000003" customHeight="1" x14ac:dyDescent="0.35">
      <c r="A23" s="208" t="s">
        <v>284</v>
      </c>
      <c r="B23" s="209" t="s">
        <v>378</v>
      </c>
      <c r="C23" s="210" t="s">
        <v>379</v>
      </c>
      <c r="D23" s="254"/>
      <c r="E23" s="254"/>
      <c r="G23" s="294" t="s">
        <v>298</v>
      </c>
      <c r="H23" s="294"/>
      <c r="I23" s="294"/>
      <c r="J23" s="294"/>
      <c r="K23" s="294"/>
      <c r="L23" s="295"/>
      <c r="N23" s="152"/>
    </row>
    <row r="24" spans="1:14" s="151" customFormat="1" ht="27" customHeight="1" thickBot="1" x14ac:dyDescent="0.4">
      <c r="A24" s="211" t="s">
        <v>372</v>
      </c>
      <c r="B24" s="212">
        <f>IF(B21&lt;0,B18,-1*(B18-B21))</f>
        <v>0</v>
      </c>
      <c r="C24" s="257">
        <f>IF(C21&lt;0,C18,-1*(C18-C21))</f>
        <v>0</v>
      </c>
      <c r="D24" s="254"/>
      <c r="E24" s="254"/>
      <c r="G24" s="294"/>
      <c r="H24" s="294"/>
      <c r="I24" s="294"/>
      <c r="J24" s="294"/>
      <c r="K24" s="294"/>
      <c r="L24" s="295"/>
      <c r="N24" s="152"/>
    </row>
    <row r="25" spans="1:14" s="151" customFormat="1" ht="15" customHeight="1" thickBot="1" x14ac:dyDescent="0.4">
      <c r="A25" s="159"/>
      <c r="B25" s="160"/>
      <c r="C25" s="160"/>
      <c r="D25" s="254"/>
      <c r="E25" s="254"/>
      <c r="H25" s="255"/>
      <c r="J25" s="255"/>
      <c r="L25" s="155"/>
      <c r="N25" s="152"/>
    </row>
    <row r="26" spans="1:14" s="151" customFormat="1" ht="36.75" customHeight="1" thickBot="1" x14ac:dyDescent="0.4">
      <c r="A26" s="213" t="s">
        <v>293</v>
      </c>
      <c r="B26" s="217">
        <f>'Distribúcia KS v PMDS'!H228</f>
        <v>0</v>
      </c>
      <c r="C26" s="214" t="s">
        <v>162</v>
      </c>
      <c r="D26" s="254"/>
      <c r="E26" s="254"/>
      <c r="H26" s="255"/>
      <c r="J26" s="255"/>
      <c r="L26" s="155"/>
      <c r="N26" s="152"/>
    </row>
    <row r="27" spans="1:14" ht="15" thickBot="1" x14ac:dyDescent="0.35">
      <c r="A27" s="15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8"/>
    </row>
  </sheetData>
  <sheetProtection algorithmName="SHA-512" hashValue="reBcMWpzpraQOdJmq/tuvYRQd0oJuNJaqoVydPre1d76B/McB6DEMWVlzgJc59GGFx0cCH/425LVci+7xx8qPA==" saltValue="xxVPpemzvacBIidecsqd9A==" spinCount="100000" sheet="1" selectLockedCells="1"/>
  <mergeCells count="5">
    <mergeCell ref="A4:A5"/>
    <mergeCell ref="G11:L12"/>
    <mergeCell ref="G23:L24"/>
    <mergeCell ref="G20:L21"/>
    <mergeCell ref="G17:L18"/>
  </mergeCells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41"/>
  <sheetViews>
    <sheetView showGridLines="0" zoomScale="75" zoomScaleNormal="75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A4"/>
    </sheetView>
  </sheetViews>
  <sheetFormatPr defaultColWidth="8.88671875" defaultRowHeight="14.4" x14ac:dyDescent="0.3"/>
  <cols>
    <col min="1" max="1" width="38.33203125" style="70" customWidth="1"/>
    <col min="2" max="2" width="10.44140625" style="73" customWidth="1"/>
    <col min="3" max="3" width="53.88671875" style="70" customWidth="1"/>
    <col min="4" max="4" width="5.6640625" style="73" customWidth="1"/>
    <col min="5" max="5" width="28.5546875" style="70" customWidth="1"/>
    <col min="6" max="9" width="21.44140625" style="70" customWidth="1"/>
    <col min="10" max="10" width="32.109375" style="75" customWidth="1"/>
    <col min="11" max="11" width="60.109375" style="75" customWidth="1"/>
    <col min="12" max="12" width="16.33203125" style="75" hidden="1" customWidth="1"/>
    <col min="13" max="13" width="8.88671875" style="75" hidden="1" customWidth="1"/>
    <col min="14" max="14" width="15" style="75" hidden="1" customWidth="1"/>
    <col min="15" max="15" width="19.44140625" style="75" hidden="1" customWidth="1"/>
    <col min="16" max="17" width="16.33203125" style="75" hidden="1" customWidth="1"/>
    <col min="18" max="20" width="8.88671875" style="75" hidden="1" customWidth="1"/>
    <col min="21" max="25" width="8.88671875" style="75" customWidth="1"/>
    <col min="26" max="16384" width="8.88671875" style="75"/>
  </cols>
  <sheetData>
    <row r="1" spans="1:11" ht="55.5" customHeight="1" thickBot="1" x14ac:dyDescent="0.35">
      <c r="A1" s="316" t="s">
        <v>369</v>
      </c>
      <c r="B1" s="316"/>
      <c r="C1" s="316"/>
      <c r="D1" s="316"/>
      <c r="E1" s="316"/>
      <c r="F1" s="316"/>
      <c r="G1" s="316"/>
      <c r="H1" s="316"/>
      <c r="I1" s="317"/>
      <c r="J1" s="92" t="s">
        <v>57</v>
      </c>
      <c r="K1" s="92" t="s">
        <v>58</v>
      </c>
    </row>
    <row r="2" spans="1:11" ht="39" customHeight="1" x14ac:dyDescent="0.3">
      <c r="A2" s="318" t="s">
        <v>373</v>
      </c>
      <c r="B2" s="300" t="s">
        <v>59</v>
      </c>
      <c r="C2" s="300" t="s">
        <v>60</v>
      </c>
      <c r="D2" s="300" t="s">
        <v>61</v>
      </c>
      <c r="E2" s="32" t="s">
        <v>62</v>
      </c>
      <c r="F2" s="38" t="s">
        <v>286</v>
      </c>
      <c r="G2" s="38" t="s">
        <v>287</v>
      </c>
      <c r="H2" s="33" t="s">
        <v>375</v>
      </c>
      <c r="I2" s="45" t="s">
        <v>374</v>
      </c>
      <c r="J2" s="125"/>
      <c r="K2" s="71"/>
    </row>
    <row r="3" spans="1:11" ht="35.25" customHeight="1" x14ac:dyDescent="0.3">
      <c r="A3" s="318"/>
      <c r="B3" s="300"/>
      <c r="C3" s="300"/>
      <c r="D3" s="300"/>
      <c r="E3" s="37" t="s">
        <v>63</v>
      </c>
      <c r="F3" s="34" t="s">
        <v>64</v>
      </c>
      <c r="G3" s="34" t="s">
        <v>64</v>
      </c>
      <c r="H3" s="34" t="s">
        <v>64</v>
      </c>
      <c r="I3" s="46" t="s">
        <v>65</v>
      </c>
      <c r="J3" s="93"/>
      <c r="K3" s="72"/>
    </row>
    <row r="4" spans="1:11" ht="13.5" customHeight="1" x14ac:dyDescent="0.3">
      <c r="A4" s="318"/>
      <c r="B4" s="300"/>
      <c r="C4" s="300"/>
      <c r="D4" s="300"/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</row>
    <row r="5" spans="1:11" ht="15" customHeight="1" x14ac:dyDescent="0.3">
      <c r="A5" s="299" t="s">
        <v>71</v>
      </c>
      <c r="B5" s="300" t="s">
        <v>72</v>
      </c>
      <c r="C5" s="77" t="s">
        <v>73</v>
      </c>
      <c r="D5" s="114"/>
      <c r="E5" s="58"/>
      <c r="F5" s="39"/>
      <c r="G5" s="39"/>
      <c r="H5" s="35">
        <f>+G5-F5</f>
        <v>0</v>
      </c>
      <c r="I5" s="47">
        <f>+ROUND(IF(H5&gt;0,H5*E5,0),4)</f>
        <v>0</v>
      </c>
    </row>
    <row r="6" spans="1:11" ht="15" customHeight="1" x14ac:dyDescent="0.3">
      <c r="A6" s="299"/>
      <c r="B6" s="300"/>
      <c r="C6" s="77" t="s">
        <v>74</v>
      </c>
      <c r="D6" s="300" t="s">
        <v>75</v>
      </c>
      <c r="E6" s="319"/>
      <c r="F6" s="39"/>
      <c r="G6" s="39"/>
      <c r="H6" s="35" t="s">
        <v>76</v>
      </c>
      <c r="I6" s="35" t="s">
        <v>76</v>
      </c>
    </row>
    <row r="7" spans="1:11" ht="15" customHeight="1" x14ac:dyDescent="0.3">
      <c r="A7" s="299"/>
      <c r="B7" s="300"/>
      <c r="C7" s="77" t="s">
        <v>77</v>
      </c>
      <c r="D7" s="300"/>
      <c r="E7" s="320"/>
      <c r="F7" s="39"/>
      <c r="G7" s="39"/>
      <c r="H7" s="35" t="s">
        <v>76</v>
      </c>
      <c r="I7" s="35" t="s">
        <v>76</v>
      </c>
    </row>
    <row r="8" spans="1:11" ht="15" customHeight="1" x14ac:dyDescent="0.3">
      <c r="A8" s="299"/>
      <c r="B8" s="300"/>
      <c r="C8" s="77" t="s">
        <v>78</v>
      </c>
      <c r="D8" s="300"/>
      <c r="E8" s="321"/>
      <c r="F8" s="35">
        <f>+F6+F7</f>
        <v>0</v>
      </c>
      <c r="G8" s="35">
        <f t="shared" ref="G8" si="0">+G6+G7</f>
        <v>0</v>
      </c>
      <c r="H8" s="35">
        <f>+G8-F8</f>
        <v>0</v>
      </c>
      <c r="I8" s="47">
        <f>+ROUND(IF(H8&gt;0,H8*E6,0),4)</f>
        <v>0</v>
      </c>
    </row>
    <row r="9" spans="1:11" ht="15" customHeight="1" x14ac:dyDescent="0.3">
      <c r="A9" s="299" t="s">
        <v>71</v>
      </c>
      <c r="B9" s="300" t="s">
        <v>79</v>
      </c>
      <c r="C9" s="77" t="s">
        <v>73</v>
      </c>
      <c r="D9" s="114"/>
      <c r="E9" s="58"/>
      <c r="F9" s="39"/>
      <c r="G9" s="39"/>
      <c r="H9" s="35">
        <f>+G9-F9</f>
        <v>0</v>
      </c>
      <c r="I9" s="47">
        <f t="shared" ref="I9" si="1">+ROUND(IF(H9&gt;0,H9*E9,0),4)</f>
        <v>0</v>
      </c>
    </row>
    <row r="10" spans="1:11" ht="15" customHeight="1" x14ac:dyDescent="0.3">
      <c r="A10" s="299"/>
      <c r="B10" s="300"/>
      <c r="C10" s="78" t="s">
        <v>80</v>
      </c>
      <c r="D10" s="114"/>
      <c r="E10" s="58"/>
      <c r="F10" s="39"/>
      <c r="G10" s="39"/>
      <c r="H10" s="35">
        <f>+G10-F10</f>
        <v>0</v>
      </c>
      <c r="I10" s="47">
        <f>+ROUND(IF(H10&gt;0,H10*E10,0),4)</f>
        <v>0</v>
      </c>
    </row>
    <row r="11" spans="1:11" ht="15" customHeight="1" x14ac:dyDescent="0.3">
      <c r="A11" s="299"/>
      <c r="B11" s="300"/>
      <c r="C11" s="77" t="s">
        <v>74</v>
      </c>
      <c r="D11" s="300" t="s">
        <v>75</v>
      </c>
      <c r="E11" s="296"/>
      <c r="F11" s="39"/>
      <c r="G11" s="39"/>
      <c r="H11" s="35" t="s">
        <v>76</v>
      </c>
      <c r="I11" s="35" t="s">
        <v>76</v>
      </c>
    </row>
    <row r="12" spans="1:11" ht="15" customHeight="1" x14ac:dyDescent="0.3">
      <c r="A12" s="299"/>
      <c r="B12" s="300"/>
      <c r="C12" s="77" t="s">
        <v>77</v>
      </c>
      <c r="D12" s="300"/>
      <c r="E12" s="296"/>
      <c r="F12" s="39"/>
      <c r="G12" s="39"/>
      <c r="H12" s="35" t="s">
        <v>76</v>
      </c>
      <c r="I12" s="35" t="s">
        <v>76</v>
      </c>
    </row>
    <row r="13" spans="1:11" ht="15" customHeight="1" x14ac:dyDescent="0.3">
      <c r="A13" s="299"/>
      <c r="B13" s="300"/>
      <c r="C13" s="77" t="s">
        <v>78</v>
      </c>
      <c r="D13" s="300"/>
      <c r="E13" s="296"/>
      <c r="F13" s="35">
        <f>+F11+F12</f>
        <v>0</v>
      </c>
      <c r="G13" s="35">
        <f t="shared" ref="G13" si="2">+G11+G12</f>
        <v>0</v>
      </c>
      <c r="H13" s="35">
        <f>+G13-F13</f>
        <v>0</v>
      </c>
      <c r="I13" s="47">
        <f>+ROUND(IF(H13&gt;0,H13*E11,0),4)</f>
        <v>0</v>
      </c>
    </row>
    <row r="14" spans="1:11" ht="15" customHeight="1" x14ac:dyDescent="0.3">
      <c r="A14" s="299" t="s">
        <v>71</v>
      </c>
      <c r="B14" s="300" t="s">
        <v>81</v>
      </c>
      <c r="C14" s="77" t="s">
        <v>73</v>
      </c>
      <c r="D14" s="114"/>
      <c r="E14" s="58"/>
      <c r="F14" s="39"/>
      <c r="G14" s="39"/>
      <c r="H14" s="35">
        <f>+G14-F14</f>
        <v>0</v>
      </c>
      <c r="I14" s="47">
        <f t="shared" ref="I14" si="3">+ROUND(IF(H14&gt;0,H14*E14,0),4)</f>
        <v>0</v>
      </c>
    </row>
    <row r="15" spans="1:11" ht="15" customHeight="1" x14ac:dyDescent="0.3">
      <c r="A15" s="299"/>
      <c r="B15" s="300"/>
      <c r="C15" s="77" t="s">
        <v>82</v>
      </c>
      <c r="D15" s="300" t="s">
        <v>75</v>
      </c>
      <c r="E15" s="296"/>
      <c r="F15" s="39"/>
      <c r="G15" s="39"/>
      <c r="H15" s="35" t="s">
        <v>76</v>
      </c>
      <c r="I15" s="35" t="s">
        <v>76</v>
      </c>
    </row>
    <row r="16" spans="1:11" ht="15" customHeight="1" x14ac:dyDescent="0.3">
      <c r="A16" s="299"/>
      <c r="B16" s="300"/>
      <c r="C16" s="77" t="s">
        <v>77</v>
      </c>
      <c r="D16" s="300"/>
      <c r="E16" s="296"/>
      <c r="F16" s="39"/>
      <c r="G16" s="39"/>
      <c r="H16" s="35" t="s">
        <v>76</v>
      </c>
      <c r="I16" s="35" t="s">
        <v>76</v>
      </c>
    </row>
    <row r="17" spans="1:9" ht="15" customHeight="1" x14ac:dyDescent="0.3">
      <c r="A17" s="299"/>
      <c r="B17" s="300"/>
      <c r="C17" s="77" t="s">
        <v>83</v>
      </c>
      <c r="D17" s="300"/>
      <c r="E17" s="296"/>
      <c r="F17" s="35">
        <f>+F15+F16</f>
        <v>0</v>
      </c>
      <c r="G17" s="35">
        <f t="shared" ref="G17" si="4">+G15+G16</f>
        <v>0</v>
      </c>
      <c r="H17" s="35">
        <f>+G17-F17</f>
        <v>0</v>
      </c>
      <c r="I17" s="47">
        <f>+ROUND(IF(H17&gt;0,H17*E15,0),4)</f>
        <v>0</v>
      </c>
    </row>
    <row r="18" spans="1:9" ht="15" customHeight="1" x14ac:dyDescent="0.3">
      <c r="A18" s="299"/>
      <c r="B18" s="300"/>
      <c r="C18" s="77" t="s">
        <v>84</v>
      </c>
      <c r="D18" s="300" t="s">
        <v>75</v>
      </c>
      <c r="E18" s="296"/>
      <c r="F18" s="39"/>
      <c r="G18" s="39"/>
      <c r="H18" s="35" t="s">
        <v>76</v>
      </c>
      <c r="I18" s="35" t="s">
        <v>76</v>
      </c>
    </row>
    <row r="19" spans="1:9" ht="15" customHeight="1" x14ac:dyDescent="0.3">
      <c r="A19" s="299"/>
      <c r="B19" s="300"/>
      <c r="C19" s="77" t="s">
        <v>77</v>
      </c>
      <c r="D19" s="300"/>
      <c r="E19" s="296"/>
      <c r="F19" s="39"/>
      <c r="G19" s="39"/>
      <c r="H19" s="35" t="s">
        <v>76</v>
      </c>
      <c r="I19" s="35" t="s">
        <v>76</v>
      </c>
    </row>
    <row r="20" spans="1:9" ht="15" customHeight="1" x14ac:dyDescent="0.3">
      <c r="A20" s="299"/>
      <c r="B20" s="300"/>
      <c r="C20" s="77" t="s">
        <v>85</v>
      </c>
      <c r="D20" s="300"/>
      <c r="E20" s="296"/>
      <c r="F20" s="35">
        <f>+F18+F19</f>
        <v>0</v>
      </c>
      <c r="G20" s="35">
        <f t="shared" ref="G20" si="5">+G18+G19</f>
        <v>0</v>
      </c>
      <c r="H20" s="35">
        <f>+G20-F20</f>
        <v>0</v>
      </c>
      <c r="I20" s="47">
        <f>+ROUND(IF(H20&gt;0,H20*E18,0),4)</f>
        <v>0</v>
      </c>
    </row>
    <row r="21" spans="1:9" ht="15" customHeight="1" x14ac:dyDescent="0.3">
      <c r="A21" s="299" t="s">
        <v>71</v>
      </c>
      <c r="B21" s="300" t="s">
        <v>86</v>
      </c>
      <c r="C21" s="77" t="s">
        <v>73</v>
      </c>
      <c r="D21" s="114"/>
      <c r="E21" s="58"/>
      <c r="F21" s="39"/>
      <c r="G21" s="39"/>
      <c r="H21" s="35">
        <f>+G21-F21</f>
        <v>0</v>
      </c>
      <c r="I21" s="47">
        <f t="shared" ref="I21:I22" si="6">+ROUND(IF(H21&gt;0,H21*E21,0),4)</f>
        <v>0</v>
      </c>
    </row>
    <row r="22" spans="1:9" ht="15" customHeight="1" x14ac:dyDescent="0.3">
      <c r="A22" s="299"/>
      <c r="B22" s="300"/>
      <c r="C22" s="77" t="s">
        <v>80</v>
      </c>
      <c r="D22" s="114"/>
      <c r="E22" s="58"/>
      <c r="F22" s="39"/>
      <c r="G22" s="39"/>
      <c r="H22" s="35">
        <f>+G22-F22</f>
        <v>0</v>
      </c>
      <c r="I22" s="47">
        <f t="shared" si="6"/>
        <v>0</v>
      </c>
    </row>
    <row r="23" spans="1:9" ht="15" customHeight="1" x14ac:dyDescent="0.3">
      <c r="A23" s="299"/>
      <c r="B23" s="300"/>
      <c r="C23" s="77" t="s">
        <v>82</v>
      </c>
      <c r="D23" s="300" t="s">
        <v>75</v>
      </c>
      <c r="E23" s="296"/>
      <c r="F23" s="39"/>
      <c r="G23" s="39"/>
      <c r="H23" s="35" t="s">
        <v>76</v>
      </c>
      <c r="I23" s="35" t="s">
        <v>76</v>
      </c>
    </row>
    <row r="24" spans="1:9" ht="15" customHeight="1" x14ac:dyDescent="0.3">
      <c r="A24" s="299"/>
      <c r="B24" s="300"/>
      <c r="C24" s="77" t="s">
        <v>77</v>
      </c>
      <c r="D24" s="300"/>
      <c r="E24" s="296"/>
      <c r="F24" s="39"/>
      <c r="G24" s="39"/>
      <c r="H24" s="35" t="s">
        <v>76</v>
      </c>
      <c r="I24" s="35" t="s">
        <v>76</v>
      </c>
    </row>
    <row r="25" spans="1:9" ht="15" customHeight="1" x14ac:dyDescent="0.3">
      <c r="A25" s="299"/>
      <c r="B25" s="300"/>
      <c r="C25" s="77" t="s">
        <v>83</v>
      </c>
      <c r="D25" s="300"/>
      <c r="E25" s="296"/>
      <c r="F25" s="35">
        <f>+F23+F24</f>
        <v>0</v>
      </c>
      <c r="G25" s="35">
        <f>+G23+G24</f>
        <v>0</v>
      </c>
      <c r="H25" s="35">
        <f>+G25-F25</f>
        <v>0</v>
      </c>
      <c r="I25" s="47">
        <f>+ROUND(IF(H25&gt;0,H25*E23,0),4)</f>
        <v>0</v>
      </c>
    </row>
    <row r="26" spans="1:9" ht="15" customHeight="1" x14ac:dyDescent="0.3">
      <c r="A26" s="299"/>
      <c r="B26" s="300"/>
      <c r="C26" s="77" t="s">
        <v>84</v>
      </c>
      <c r="D26" s="300" t="s">
        <v>75</v>
      </c>
      <c r="E26" s="296"/>
      <c r="F26" s="39"/>
      <c r="G26" s="39"/>
      <c r="H26" s="35" t="s">
        <v>76</v>
      </c>
      <c r="I26" s="35" t="s">
        <v>76</v>
      </c>
    </row>
    <row r="27" spans="1:9" ht="15" customHeight="1" x14ac:dyDescent="0.3">
      <c r="A27" s="299"/>
      <c r="B27" s="300"/>
      <c r="C27" s="77" t="s">
        <v>77</v>
      </c>
      <c r="D27" s="300"/>
      <c r="E27" s="296"/>
      <c r="F27" s="39"/>
      <c r="G27" s="39"/>
      <c r="H27" s="35" t="s">
        <v>76</v>
      </c>
      <c r="I27" s="35" t="s">
        <v>76</v>
      </c>
    </row>
    <row r="28" spans="1:9" ht="15" customHeight="1" x14ac:dyDescent="0.3">
      <c r="A28" s="299"/>
      <c r="B28" s="300"/>
      <c r="C28" s="77" t="s">
        <v>85</v>
      </c>
      <c r="D28" s="300"/>
      <c r="E28" s="296"/>
      <c r="F28" s="35">
        <f>+F26+F27</f>
        <v>0</v>
      </c>
      <c r="G28" s="35">
        <f t="shared" ref="G28" si="7">+G26+G27</f>
        <v>0</v>
      </c>
      <c r="H28" s="35">
        <f>+G28-F28</f>
        <v>0</v>
      </c>
      <c r="I28" s="47">
        <f>+ROUND(IF(H28&gt;0,H28*E26,0),4)</f>
        <v>0</v>
      </c>
    </row>
    <row r="29" spans="1:9" ht="15" customHeight="1" x14ac:dyDescent="0.3">
      <c r="A29" s="299" t="s">
        <v>71</v>
      </c>
      <c r="B29" s="300" t="s">
        <v>87</v>
      </c>
      <c r="C29" s="77" t="s">
        <v>73</v>
      </c>
      <c r="D29" s="114"/>
      <c r="E29" s="58"/>
      <c r="F29" s="39"/>
      <c r="G29" s="39"/>
      <c r="H29" s="35">
        <f>+G29-F29</f>
        <v>0</v>
      </c>
      <c r="I29" s="47">
        <f t="shared" ref="I29" si="8">+ROUND(IF(H29&gt;0,H29*E29,0),4)</f>
        <v>0</v>
      </c>
    </row>
    <row r="30" spans="1:9" ht="15" customHeight="1" x14ac:dyDescent="0.3">
      <c r="A30" s="299"/>
      <c r="B30" s="300"/>
      <c r="C30" s="77" t="s">
        <v>82</v>
      </c>
      <c r="D30" s="300" t="s">
        <v>75</v>
      </c>
      <c r="E30" s="296"/>
      <c r="F30" s="39"/>
      <c r="G30" s="39"/>
      <c r="H30" s="35" t="s">
        <v>76</v>
      </c>
      <c r="I30" s="35" t="s">
        <v>76</v>
      </c>
    </row>
    <row r="31" spans="1:9" ht="15" customHeight="1" x14ac:dyDescent="0.3">
      <c r="A31" s="299"/>
      <c r="B31" s="300"/>
      <c r="C31" s="77" t="s">
        <v>77</v>
      </c>
      <c r="D31" s="300"/>
      <c r="E31" s="296"/>
      <c r="F31" s="39"/>
      <c r="G31" s="39"/>
      <c r="H31" s="35" t="s">
        <v>76</v>
      </c>
      <c r="I31" s="35" t="s">
        <v>76</v>
      </c>
    </row>
    <row r="32" spans="1:9" ht="15" customHeight="1" x14ac:dyDescent="0.3">
      <c r="A32" s="299"/>
      <c r="B32" s="300"/>
      <c r="C32" s="77" t="s">
        <v>83</v>
      </c>
      <c r="D32" s="300"/>
      <c r="E32" s="296"/>
      <c r="F32" s="35">
        <f>+F30+F31</f>
        <v>0</v>
      </c>
      <c r="G32" s="35">
        <f t="shared" ref="G32" si="9">+G30+G31</f>
        <v>0</v>
      </c>
      <c r="H32" s="35">
        <f>+G32-F32</f>
        <v>0</v>
      </c>
      <c r="I32" s="47">
        <f>+ROUND(IF(H32&gt;0,H32*E30,0),4)</f>
        <v>0</v>
      </c>
    </row>
    <row r="33" spans="1:9" ht="15" customHeight="1" x14ac:dyDescent="0.3">
      <c r="A33" s="299"/>
      <c r="B33" s="300"/>
      <c r="C33" s="77" t="s">
        <v>84</v>
      </c>
      <c r="D33" s="300" t="s">
        <v>75</v>
      </c>
      <c r="E33" s="296"/>
      <c r="F33" s="39"/>
      <c r="G33" s="39"/>
      <c r="H33" s="35" t="s">
        <v>76</v>
      </c>
      <c r="I33" s="35" t="s">
        <v>76</v>
      </c>
    </row>
    <row r="34" spans="1:9" ht="15" customHeight="1" x14ac:dyDescent="0.3">
      <c r="A34" s="299"/>
      <c r="B34" s="300"/>
      <c r="C34" s="77" t="s">
        <v>77</v>
      </c>
      <c r="D34" s="300"/>
      <c r="E34" s="296"/>
      <c r="F34" s="39"/>
      <c r="G34" s="39"/>
      <c r="H34" s="35" t="s">
        <v>76</v>
      </c>
      <c r="I34" s="35" t="s">
        <v>76</v>
      </c>
    </row>
    <row r="35" spans="1:9" ht="15" customHeight="1" x14ac:dyDescent="0.3">
      <c r="A35" s="299"/>
      <c r="B35" s="300"/>
      <c r="C35" s="77" t="s">
        <v>85</v>
      </c>
      <c r="D35" s="300"/>
      <c r="E35" s="296"/>
      <c r="F35" s="35">
        <f>+F33+F34</f>
        <v>0</v>
      </c>
      <c r="G35" s="35">
        <f t="shared" ref="G35" si="10">+G33+G34</f>
        <v>0</v>
      </c>
      <c r="H35" s="35">
        <f>+G35-F35</f>
        <v>0</v>
      </c>
      <c r="I35" s="47">
        <f>+ROUND(IF(H35&gt;0,H35*E33,0),4)</f>
        <v>0</v>
      </c>
    </row>
    <row r="36" spans="1:9" ht="15" customHeight="1" x14ac:dyDescent="0.3">
      <c r="A36" s="299" t="s">
        <v>71</v>
      </c>
      <c r="B36" s="300" t="s">
        <v>88</v>
      </c>
      <c r="C36" s="77" t="s">
        <v>73</v>
      </c>
      <c r="D36" s="114"/>
      <c r="E36" s="58"/>
      <c r="F36" s="39"/>
      <c r="G36" s="39"/>
      <c r="H36" s="35">
        <f>+G36-F36</f>
        <v>0</v>
      </c>
      <c r="I36" s="47">
        <f t="shared" ref="I36" si="11">+ROUND(IF(H36&gt;0,H36*E36,0),4)</f>
        <v>0</v>
      </c>
    </row>
    <row r="37" spans="1:9" ht="15" customHeight="1" x14ac:dyDescent="0.3">
      <c r="A37" s="299"/>
      <c r="B37" s="300"/>
      <c r="C37" s="77" t="s">
        <v>82</v>
      </c>
      <c r="D37" s="300" t="s">
        <v>75</v>
      </c>
      <c r="E37" s="296"/>
      <c r="F37" s="39"/>
      <c r="G37" s="39"/>
      <c r="H37" s="35" t="s">
        <v>76</v>
      </c>
      <c r="I37" s="35" t="s">
        <v>76</v>
      </c>
    </row>
    <row r="38" spans="1:9" ht="15" customHeight="1" x14ac:dyDescent="0.3">
      <c r="A38" s="299"/>
      <c r="B38" s="300"/>
      <c r="C38" s="77" t="s">
        <v>77</v>
      </c>
      <c r="D38" s="300"/>
      <c r="E38" s="296"/>
      <c r="F38" s="39"/>
      <c r="G38" s="39"/>
      <c r="H38" s="35" t="s">
        <v>76</v>
      </c>
      <c r="I38" s="35" t="s">
        <v>76</v>
      </c>
    </row>
    <row r="39" spans="1:9" ht="15" customHeight="1" x14ac:dyDescent="0.3">
      <c r="A39" s="299"/>
      <c r="B39" s="300"/>
      <c r="C39" s="77" t="s">
        <v>83</v>
      </c>
      <c r="D39" s="300"/>
      <c r="E39" s="296"/>
      <c r="F39" s="35">
        <f>+F37+F38</f>
        <v>0</v>
      </c>
      <c r="G39" s="35">
        <f t="shared" ref="G39" si="12">+G37+G38</f>
        <v>0</v>
      </c>
      <c r="H39" s="35">
        <f>+G39-F39</f>
        <v>0</v>
      </c>
      <c r="I39" s="47">
        <f>+ROUND(IF(H39&gt;0,H39*E37,0),4)</f>
        <v>0</v>
      </c>
    </row>
    <row r="40" spans="1:9" ht="15" customHeight="1" x14ac:dyDescent="0.3">
      <c r="A40" s="299"/>
      <c r="B40" s="300"/>
      <c r="C40" s="77" t="s">
        <v>84</v>
      </c>
      <c r="D40" s="300" t="s">
        <v>75</v>
      </c>
      <c r="E40" s="296"/>
      <c r="F40" s="39"/>
      <c r="G40" s="39"/>
      <c r="H40" s="35" t="s">
        <v>76</v>
      </c>
      <c r="I40" s="35" t="s">
        <v>76</v>
      </c>
    </row>
    <row r="41" spans="1:9" ht="15" customHeight="1" x14ac:dyDescent="0.3">
      <c r="A41" s="299"/>
      <c r="B41" s="300"/>
      <c r="C41" s="77" t="s">
        <v>77</v>
      </c>
      <c r="D41" s="300"/>
      <c r="E41" s="296"/>
      <c r="F41" s="39"/>
      <c r="G41" s="39"/>
      <c r="H41" s="35" t="s">
        <v>76</v>
      </c>
      <c r="I41" s="35" t="s">
        <v>76</v>
      </c>
    </row>
    <row r="42" spans="1:9" ht="15" customHeight="1" x14ac:dyDescent="0.3">
      <c r="A42" s="299"/>
      <c r="B42" s="300"/>
      <c r="C42" s="77" t="s">
        <v>85</v>
      </c>
      <c r="D42" s="300"/>
      <c r="E42" s="296"/>
      <c r="F42" s="35">
        <f>+F40+F41</f>
        <v>0</v>
      </c>
      <c r="G42" s="35">
        <f t="shared" ref="G42" si="13">+G40+G41</f>
        <v>0</v>
      </c>
      <c r="H42" s="35">
        <f>+G42-F42</f>
        <v>0</v>
      </c>
      <c r="I42" s="47">
        <f>+ROUND(IF(H42&gt;0,H42*E40,0),4)</f>
        <v>0</v>
      </c>
    </row>
    <row r="43" spans="1:9" ht="15" customHeight="1" x14ac:dyDescent="0.3">
      <c r="A43" s="299" t="s">
        <v>71</v>
      </c>
      <c r="B43" s="300" t="s">
        <v>89</v>
      </c>
      <c r="C43" s="77" t="s">
        <v>73</v>
      </c>
      <c r="D43" s="114"/>
      <c r="E43" s="58"/>
      <c r="F43" s="39"/>
      <c r="G43" s="39"/>
      <c r="H43" s="35">
        <f>+G43-F43</f>
        <v>0</v>
      </c>
      <c r="I43" s="47">
        <f>+ROUND(IF(H43&gt;0,H43*E43,0),4)</f>
        <v>0</v>
      </c>
    </row>
    <row r="44" spans="1:9" ht="15" customHeight="1" x14ac:dyDescent="0.3">
      <c r="A44" s="299"/>
      <c r="B44" s="300"/>
      <c r="C44" s="77" t="s">
        <v>82</v>
      </c>
      <c r="D44" s="300" t="s">
        <v>75</v>
      </c>
      <c r="E44" s="296"/>
      <c r="F44" s="39"/>
      <c r="G44" s="39"/>
      <c r="H44" s="35" t="s">
        <v>76</v>
      </c>
      <c r="I44" s="35" t="s">
        <v>76</v>
      </c>
    </row>
    <row r="45" spans="1:9" ht="15" customHeight="1" x14ac:dyDescent="0.3">
      <c r="A45" s="299"/>
      <c r="B45" s="300"/>
      <c r="C45" s="77" t="s">
        <v>77</v>
      </c>
      <c r="D45" s="300"/>
      <c r="E45" s="296"/>
      <c r="F45" s="39"/>
      <c r="G45" s="39"/>
      <c r="H45" s="35" t="s">
        <v>76</v>
      </c>
      <c r="I45" s="35" t="s">
        <v>76</v>
      </c>
    </row>
    <row r="46" spans="1:9" ht="15" customHeight="1" x14ac:dyDescent="0.3">
      <c r="A46" s="299"/>
      <c r="B46" s="300"/>
      <c r="C46" s="77" t="s">
        <v>83</v>
      </c>
      <c r="D46" s="300"/>
      <c r="E46" s="296"/>
      <c r="F46" s="35">
        <f>+F44+F45</f>
        <v>0</v>
      </c>
      <c r="G46" s="35">
        <f t="shared" ref="G46" si="14">+G44+G45</f>
        <v>0</v>
      </c>
      <c r="H46" s="35">
        <f>+G46-F46</f>
        <v>0</v>
      </c>
      <c r="I46" s="47">
        <f>+ROUND(IF(H46&gt;0,H46*E44,0),4)</f>
        <v>0</v>
      </c>
    </row>
    <row r="47" spans="1:9" ht="15" customHeight="1" x14ac:dyDescent="0.3">
      <c r="A47" s="299"/>
      <c r="B47" s="300"/>
      <c r="C47" s="77" t="s">
        <v>84</v>
      </c>
      <c r="D47" s="300" t="s">
        <v>75</v>
      </c>
      <c r="E47" s="296"/>
      <c r="F47" s="39"/>
      <c r="G47" s="39"/>
      <c r="H47" s="35" t="s">
        <v>76</v>
      </c>
      <c r="I47" s="35" t="s">
        <v>76</v>
      </c>
    </row>
    <row r="48" spans="1:9" ht="15" customHeight="1" x14ac:dyDescent="0.3">
      <c r="A48" s="299"/>
      <c r="B48" s="300"/>
      <c r="C48" s="77" t="s">
        <v>77</v>
      </c>
      <c r="D48" s="300"/>
      <c r="E48" s="296"/>
      <c r="F48" s="39"/>
      <c r="G48" s="39"/>
      <c r="H48" s="35" t="s">
        <v>76</v>
      </c>
      <c r="I48" s="35" t="s">
        <v>76</v>
      </c>
    </row>
    <row r="49" spans="1:9" ht="15" customHeight="1" x14ac:dyDescent="0.3">
      <c r="A49" s="299"/>
      <c r="B49" s="300"/>
      <c r="C49" s="77" t="s">
        <v>85</v>
      </c>
      <c r="D49" s="300"/>
      <c r="E49" s="296"/>
      <c r="F49" s="35">
        <f>+F47+F48</f>
        <v>0</v>
      </c>
      <c r="G49" s="35">
        <f t="shared" ref="G49" si="15">+G47+G48</f>
        <v>0</v>
      </c>
      <c r="H49" s="35">
        <f>+G49-F49</f>
        <v>0</v>
      </c>
      <c r="I49" s="47">
        <f>+ROUND(IF(H49&gt;0,H49*E47,0),4)</f>
        <v>0</v>
      </c>
    </row>
    <row r="50" spans="1:9" ht="15" customHeight="1" x14ac:dyDescent="0.3">
      <c r="A50" s="299" t="s">
        <v>71</v>
      </c>
      <c r="B50" s="300" t="s">
        <v>90</v>
      </c>
      <c r="C50" s="77" t="s">
        <v>73</v>
      </c>
      <c r="D50" s="114"/>
      <c r="E50" s="58"/>
      <c r="F50" s="39"/>
      <c r="G50" s="39"/>
      <c r="H50" s="35">
        <f>+G50-F50</f>
        <v>0</v>
      </c>
      <c r="I50" s="47">
        <f>+ROUND(IF(H50&gt;0,H50*E50,0),4)</f>
        <v>0</v>
      </c>
    </row>
    <row r="51" spans="1:9" ht="15" customHeight="1" x14ac:dyDescent="0.3">
      <c r="A51" s="299"/>
      <c r="B51" s="300"/>
      <c r="C51" s="77" t="s">
        <v>82</v>
      </c>
      <c r="D51" s="300" t="s">
        <v>75</v>
      </c>
      <c r="E51" s="296"/>
      <c r="F51" s="39"/>
      <c r="G51" s="39"/>
      <c r="H51" s="35" t="s">
        <v>76</v>
      </c>
      <c r="I51" s="35" t="s">
        <v>76</v>
      </c>
    </row>
    <row r="52" spans="1:9" ht="15" customHeight="1" x14ac:dyDescent="0.3">
      <c r="A52" s="299"/>
      <c r="B52" s="300"/>
      <c r="C52" s="77" t="s">
        <v>77</v>
      </c>
      <c r="D52" s="300"/>
      <c r="E52" s="296"/>
      <c r="F52" s="39"/>
      <c r="G52" s="39"/>
      <c r="H52" s="35" t="s">
        <v>76</v>
      </c>
      <c r="I52" s="35" t="s">
        <v>76</v>
      </c>
    </row>
    <row r="53" spans="1:9" ht="15" customHeight="1" x14ac:dyDescent="0.3">
      <c r="A53" s="299"/>
      <c r="B53" s="300"/>
      <c r="C53" s="77" t="s">
        <v>83</v>
      </c>
      <c r="D53" s="300"/>
      <c r="E53" s="296"/>
      <c r="F53" s="35">
        <f>+F51+F52</f>
        <v>0</v>
      </c>
      <c r="G53" s="35">
        <f t="shared" ref="G53" si="16">+G51+G52</f>
        <v>0</v>
      </c>
      <c r="H53" s="35">
        <f>+G53-F53</f>
        <v>0</v>
      </c>
      <c r="I53" s="47">
        <f>+ROUND(IF(H53&gt;0,H53*E51,0),4)</f>
        <v>0</v>
      </c>
    </row>
    <row r="54" spans="1:9" ht="15" customHeight="1" x14ac:dyDescent="0.3">
      <c r="A54" s="299"/>
      <c r="B54" s="300"/>
      <c r="C54" s="77" t="s">
        <v>84</v>
      </c>
      <c r="D54" s="300" t="s">
        <v>75</v>
      </c>
      <c r="E54" s="296"/>
      <c r="F54" s="39"/>
      <c r="G54" s="39"/>
      <c r="H54" s="35" t="s">
        <v>76</v>
      </c>
      <c r="I54" s="35" t="s">
        <v>76</v>
      </c>
    </row>
    <row r="55" spans="1:9" ht="15" customHeight="1" x14ac:dyDescent="0.3">
      <c r="A55" s="299"/>
      <c r="B55" s="300"/>
      <c r="C55" s="77" t="s">
        <v>77</v>
      </c>
      <c r="D55" s="300"/>
      <c r="E55" s="296"/>
      <c r="F55" s="39"/>
      <c r="G55" s="39"/>
      <c r="H55" s="35" t="s">
        <v>76</v>
      </c>
      <c r="I55" s="35" t="s">
        <v>76</v>
      </c>
    </row>
    <row r="56" spans="1:9" ht="15" customHeight="1" x14ac:dyDescent="0.3">
      <c r="A56" s="299"/>
      <c r="B56" s="300"/>
      <c r="C56" s="77" t="s">
        <v>85</v>
      </c>
      <c r="D56" s="300"/>
      <c r="E56" s="296"/>
      <c r="F56" s="35">
        <f>+F54+F55</f>
        <v>0</v>
      </c>
      <c r="G56" s="35">
        <f t="shared" ref="G56" si="17">+G54+G55</f>
        <v>0</v>
      </c>
      <c r="H56" s="35">
        <f>+G56-F56</f>
        <v>0</v>
      </c>
      <c r="I56" s="47">
        <f>+ROUND(IF(H56&gt;0,H56*E54,0),4)</f>
        <v>0</v>
      </c>
    </row>
    <row r="57" spans="1:9" ht="15" customHeight="1" x14ac:dyDescent="0.3">
      <c r="A57" s="299" t="s">
        <v>71</v>
      </c>
      <c r="B57" s="300" t="s">
        <v>91</v>
      </c>
      <c r="C57" s="77" t="s">
        <v>73</v>
      </c>
      <c r="D57" s="114"/>
      <c r="E57" s="58"/>
      <c r="F57" s="39"/>
      <c r="G57" s="39"/>
      <c r="H57" s="35">
        <f>+G57-F57</f>
        <v>0</v>
      </c>
      <c r="I57" s="47">
        <f t="shared" ref="I57" si="18">+ROUND(IF(H57&gt;0,H57*E57,0),4)</f>
        <v>0</v>
      </c>
    </row>
    <row r="58" spans="1:9" ht="15" customHeight="1" x14ac:dyDescent="0.3">
      <c r="A58" s="299"/>
      <c r="B58" s="300"/>
      <c r="C58" s="77" t="s">
        <v>82</v>
      </c>
      <c r="D58" s="300" t="s">
        <v>75</v>
      </c>
      <c r="E58" s="296"/>
      <c r="F58" s="39"/>
      <c r="G58" s="39"/>
      <c r="H58" s="35" t="s">
        <v>76</v>
      </c>
      <c r="I58" s="35" t="s">
        <v>76</v>
      </c>
    </row>
    <row r="59" spans="1:9" ht="15" customHeight="1" x14ac:dyDescent="0.3">
      <c r="A59" s="299"/>
      <c r="B59" s="300"/>
      <c r="C59" s="77" t="s">
        <v>77</v>
      </c>
      <c r="D59" s="300"/>
      <c r="E59" s="296"/>
      <c r="F59" s="39"/>
      <c r="G59" s="39"/>
      <c r="H59" s="35" t="s">
        <v>76</v>
      </c>
      <c r="I59" s="35" t="s">
        <v>76</v>
      </c>
    </row>
    <row r="60" spans="1:9" ht="15" customHeight="1" x14ac:dyDescent="0.3">
      <c r="A60" s="299"/>
      <c r="B60" s="300"/>
      <c r="C60" s="77" t="s">
        <v>83</v>
      </c>
      <c r="D60" s="300"/>
      <c r="E60" s="296"/>
      <c r="F60" s="35">
        <f>+F58+F59</f>
        <v>0</v>
      </c>
      <c r="G60" s="35">
        <f t="shared" ref="G60" si="19">+G58+G59</f>
        <v>0</v>
      </c>
      <c r="H60" s="35">
        <f>+G60-F60</f>
        <v>0</v>
      </c>
      <c r="I60" s="47">
        <f>+ROUND(IF(H60&gt;0,H60*E58,0),4)</f>
        <v>0</v>
      </c>
    </row>
    <row r="61" spans="1:9" ht="15" customHeight="1" x14ac:dyDescent="0.3">
      <c r="A61" s="299"/>
      <c r="B61" s="300"/>
      <c r="C61" s="77" t="s">
        <v>84</v>
      </c>
      <c r="D61" s="300" t="s">
        <v>75</v>
      </c>
      <c r="E61" s="296"/>
      <c r="F61" s="39"/>
      <c r="G61" s="39"/>
      <c r="H61" s="35" t="s">
        <v>76</v>
      </c>
      <c r="I61" s="35" t="s">
        <v>76</v>
      </c>
    </row>
    <row r="62" spans="1:9" ht="15" customHeight="1" x14ac:dyDescent="0.3">
      <c r="A62" s="299"/>
      <c r="B62" s="300"/>
      <c r="C62" s="77" t="s">
        <v>77</v>
      </c>
      <c r="D62" s="300"/>
      <c r="E62" s="296"/>
      <c r="F62" s="39"/>
      <c r="G62" s="39"/>
      <c r="H62" s="35" t="s">
        <v>76</v>
      </c>
      <c r="I62" s="35" t="s">
        <v>76</v>
      </c>
    </row>
    <row r="63" spans="1:9" ht="15" customHeight="1" x14ac:dyDescent="0.3">
      <c r="A63" s="299"/>
      <c r="B63" s="300"/>
      <c r="C63" s="77" t="s">
        <v>85</v>
      </c>
      <c r="D63" s="300"/>
      <c r="E63" s="296"/>
      <c r="F63" s="35">
        <f>+F61+F62</f>
        <v>0</v>
      </c>
      <c r="G63" s="35">
        <f t="shared" ref="G63" si="20">+G61+G62</f>
        <v>0</v>
      </c>
      <c r="H63" s="35">
        <f>+G63-F63</f>
        <v>0</v>
      </c>
      <c r="I63" s="47">
        <f>+ROUND(IF(H63&gt;0,H63*E61,0),4)</f>
        <v>0</v>
      </c>
    </row>
    <row r="64" spans="1:9" ht="15" customHeight="1" x14ac:dyDescent="0.3">
      <c r="A64" s="299" t="s">
        <v>92</v>
      </c>
      <c r="B64" s="300" t="s">
        <v>93</v>
      </c>
      <c r="C64" s="77" t="s">
        <v>73</v>
      </c>
      <c r="D64" s="114"/>
      <c r="E64" s="58"/>
      <c r="F64" s="39"/>
      <c r="G64" s="39"/>
      <c r="H64" s="35">
        <f>+G64-F64</f>
        <v>0</v>
      </c>
      <c r="I64" s="47">
        <f t="shared" ref="I64" si="21">+ROUND(IF(H64&gt;0,H64*E64,0),4)</f>
        <v>0</v>
      </c>
    </row>
    <row r="65" spans="1:18" ht="15" customHeight="1" x14ac:dyDescent="0.3">
      <c r="A65" s="299"/>
      <c r="B65" s="300"/>
      <c r="C65" s="77" t="s">
        <v>94</v>
      </c>
      <c r="D65" s="300" t="s">
        <v>75</v>
      </c>
      <c r="E65" s="296"/>
      <c r="F65" s="39"/>
      <c r="G65" s="39"/>
      <c r="H65" s="35" t="s">
        <v>76</v>
      </c>
      <c r="I65" s="35" t="s">
        <v>76</v>
      </c>
    </row>
    <row r="66" spans="1:18" ht="15" customHeight="1" x14ac:dyDescent="0.3">
      <c r="A66" s="299"/>
      <c r="B66" s="300"/>
      <c r="C66" s="77" t="s">
        <v>77</v>
      </c>
      <c r="D66" s="300"/>
      <c r="E66" s="296"/>
      <c r="F66" s="39"/>
      <c r="G66" s="39"/>
      <c r="H66" s="35" t="s">
        <v>76</v>
      </c>
      <c r="I66" s="35" t="s">
        <v>76</v>
      </c>
    </row>
    <row r="67" spans="1:18" ht="15" customHeight="1" x14ac:dyDescent="0.3">
      <c r="A67" s="299"/>
      <c r="B67" s="300"/>
      <c r="C67" s="77" t="s">
        <v>95</v>
      </c>
      <c r="D67" s="300"/>
      <c r="E67" s="296"/>
      <c r="F67" s="35">
        <f>+F65+F66</f>
        <v>0</v>
      </c>
      <c r="G67" s="35">
        <f t="shared" ref="G67" si="22">+G65+G66</f>
        <v>0</v>
      </c>
      <c r="H67" s="35">
        <f>+G67-F67</f>
        <v>0</v>
      </c>
      <c r="I67" s="47">
        <f>+ROUND(IF(H67&gt;0,H67*E65,0),4)</f>
        <v>0</v>
      </c>
    </row>
    <row r="68" spans="1:18" ht="15" customHeight="1" x14ac:dyDescent="0.3">
      <c r="A68" s="299"/>
      <c r="B68" s="300"/>
      <c r="C68" s="77" t="s">
        <v>82</v>
      </c>
      <c r="D68" s="300" t="s">
        <v>75</v>
      </c>
      <c r="E68" s="296"/>
      <c r="F68" s="39"/>
      <c r="G68" s="39"/>
      <c r="H68" s="35" t="s">
        <v>76</v>
      </c>
      <c r="I68" s="35" t="s">
        <v>76</v>
      </c>
    </row>
    <row r="69" spans="1:18" ht="15" customHeight="1" x14ac:dyDescent="0.3">
      <c r="A69" s="299"/>
      <c r="B69" s="300"/>
      <c r="C69" s="77" t="s">
        <v>77</v>
      </c>
      <c r="D69" s="300"/>
      <c r="E69" s="296"/>
      <c r="F69" s="39"/>
      <c r="G69" s="39"/>
      <c r="H69" s="35" t="s">
        <v>76</v>
      </c>
      <c r="I69" s="35" t="s">
        <v>76</v>
      </c>
    </row>
    <row r="70" spans="1:18" ht="15" customHeight="1" x14ac:dyDescent="0.3">
      <c r="A70" s="299"/>
      <c r="B70" s="300"/>
      <c r="C70" s="77" t="s">
        <v>83</v>
      </c>
      <c r="D70" s="300"/>
      <c r="E70" s="296"/>
      <c r="F70" s="35">
        <f>+F68+F69</f>
        <v>0</v>
      </c>
      <c r="G70" s="35">
        <f t="shared" ref="G70" si="23">+G68+G69</f>
        <v>0</v>
      </c>
      <c r="H70" s="35">
        <f>+G70-F70</f>
        <v>0</v>
      </c>
      <c r="I70" s="47">
        <f>+ROUND(IF(H70&gt;0,H70*E68,0),4)</f>
        <v>0</v>
      </c>
    </row>
    <row r="71" spans="1:18" ht="15" customHeight="1" x14ac:dyDescent="0.3">
      <c r="A71" s="299"/>
      <c r="B71" s="300"/>
      <c r="C71" s="77" t="s">
        <v>84</v>
      </c>
      <c r="D71" s="300" t="s">
        <v>75</v>
      </c>
      <c r="E71" s="296"/>
      <c r="F71" s="39"/>
      <c r="G71" s="39"/>
      <c r="H71" s="35" t="s">
        <v>76</v>
      </c>
      <c r="I71" s="35" t="s">
        <v>76</v>
      </c>
    </row>
    <row r="72" spans="1:18" ht="15" customHeight="1" x14ac:dyDescent="0.3">
      <c r="A72" s="299"/>
      <c r="B72" s="300"/>
      <c r="C72" s="77" t="s">
        <v>77</v>
      </c>
      <c r="D72" s="300"/>
      <c r="E72" s="296"/>
      <c r="F72" s="39"/>
      <c r="G72" s="39"/>
      <c r="H72" s="35" t="s">
        <v>76</v>
      </c>
      <c r="I72" s="35" t="s">
        <v>76</v>
      </c>
    </row>
    <row r="73" spans="1:18" ht="15" customHeight="1" x14ac:dyDescent="0.3">
      <c r="A73" s="299"/>
      <c r="B73" s="300"/>
      <c r="C73" s="77" t="s">
        <v>85</v>
      </c>
      <c r="D73" s="300"/>
      <c r="E73" s="296"/>
      <c r="F73" s="35">
        <f>+F71+F72</f>
        <v>0</v>
      </c>
      <c r="G73" s="35">
        <f t="shared" ref="G73" si="24">+G71+G72</f>
        <v>0</v>
      </c>
      <c r="H73" s="35">
        <f>+G73-F73</f>
        <v>0</v>
      </c>
      <c r="I73" s="47">
        <f>+ROUND(IF(H73&gt;0,H73*E71,0),4)</f>
        <v>0</v>
      </c>
    </row>
    <row r="74" spans="1:18" ht="15" customHeight="1" x14ac:dyDescent="0.3">
      <c r="A74" s="299"/>
      <c r="B74" s="300"/>
      <c r="C74" s="77" t="s">
        <v>96</v>
      </c>
      <c r="D74" s="300" t="s">
        <v>75</v>
      </c>
      <c r="E74" s="296"/>
      <c r="F74" s="39"/>
      <c r="G74" s="39"/>
      <c r="H74" s="35" t="s">
        <v>76</v>
      </c>
      <c r="I74" s="35" t="s">
        <v>76</v>
      </c>
    </row>
    <row r="75" spans="1:18" ht="15" customHeight="1" x14ac:dyDescent="0.3">
      <c r="A75" s="299"/>
      <c r="B75" s="300"/>
      <c r="C75" s="77" t="s">
        <v>77</v>
      </c>
      <c r="D75" s="300"/>
      <c r="E75" s="296"/>
      <c r="F75" s="39"/>
      <c r="G75" s="39"/>
      <c r="H75" s="35" t="s">
        <v>76</v>
      </c>
      <c r="I75" s="35" t="s">
        <v>76</v>
      </c>
    </row>
    <row r="76" spans="1:18" ht="15" customHeight="1" x14ac:dyDescent="0.3">
      <c r="A76" s="299"/>
      <c r="B76" s="300"/>
      <c r="C76" s="77" t="s">
        <v>97</v>
      </c>
      <c r="D76" s="300"/>
      <c r="E76" s="296"/>
      <c r="F76" s="35">
        <f>+F74+F75</f>
        <v>0</v>
      </c>
      <c r="G76" s="35">
        <f t="shared" ref="G76" si="25">+G74+G75</f>
        <v>0</v>
      </c>
      <c r="H76" s="35">
        <f>+G76-F76</f>
        <v>0</v>
      </c>
      <c r="I76" s="47">
        <f>+ROUND(IF(H76&gt;0,H76*E74,0),4)</f>
        <v>0</v>
      </c>
      <c r="N76" s="75" t="s">
        <v>98</v>
      </c>
      <c r="O76" s="75" t="s">
        <v>99</v>
      </c>
      <c r="P76" s="75" t="s">
        <v>100</v>
      </c>
      <c r="Q76" s="75" t="s">
        <v>101</v>
      </c>
      <c r="R76" s="75" t="s">
        <v>102</v>
      </c>
    </row>
    <row r="77" spans="1:18" ht="15" customHeight="1" x14ac:dyDescent="0.3">
      <c r="A77" s="314" t="s">
        <v>71</v>
      </c>
      <c r="B77" s="315" t="s">
        <v>103</v>
      </c>
      <c r="C77" s="103" t="s">
        <v>73</v>
      </c>
      <c r="D77" s="110" t="s">
        <v>76</v>
      </c>
      <c r="E77" s="49" t="s">
        <v>76</v>
      </c>
      <c r="F77" s="49" t="s">
        <v>76</v>
      </c>
      <c r="G77" s="49" t="s">
        <v>76</v>
      </c>
      <c r="H77" s="49" t="s">
        <v>76</v>
      </c>
      <c r="I77" s="49">
        <f>N77</f>
        <v>0</v>
      </c>
      <c r="N77" s="136">
        <f>ROUND(+I5+I9+I10+I14+I21+I22+I29+I36+I43+I50+I57+I64,6)</f>
        <v>0</v>
      </c>
      <c r="O77" s="136">
        <f>ROUND(SUM(E6,E11,E15,E18,E23,E26,E30,E33,E37,E40,E44,E47,E51,E54,E58,E61,E65,E68,E71,E74),3)</f>
        <v>0</v>
      </c>
      <c r="P77" s="75">
        <f>Q77*O77</f>
        <v>0</v>
      </c>
      <c r="Q77" s="75">
        <f>IFERROR(ROUND((N77+N78)/O77,6),0)</f>
        <v>0</v>
      </c>
      <c r="R77" s="75">
        <f>ROUND(Q77*O77*1.2,2)</f>
        <v>0</v>
      </c>
    </row>
    <row r="78" spans="1:18" ht="15" customHeight="1" x14ac:dyDescent="0.3">
      <c r="A78" s="314"/>
      <c r="B78" s="315"/>
      <c r="C78" s="103" t="s">
        <v>78</v>
      </c>
      <c r="D78" s="110"/>
      <c r="E78" s="144">
        <f>O77</f>
        <v>0</v>
      </c>
      <c r="F78" s="49" t="s">
        <v>76</v>
      </c>
      <c r="G78" s="49" t="s">
        <v>76</v>
      </c>
      <c r="H78" s="49" t="s">
        <v>76</v>
      </c>
      <c r="I78" s="49">
        <f>N78</f>
        <v>0</v>
      </c>
      <c r="N78" s="136">
        <f>ROUND(+I8+I13+I17+I20+I25+I28+I32+I35+I39+I42+I46+I49+I53+I56+I60+I63+I67+I70+I73+I76,6)</f>
        <v>0</v>
      </c>
    </row>
    <row r="79" spans="1:18" ht="15" customHeight="1" x14ac:dyDescent="0.3">
      <c r="A79" s="299" t="s">
        <v>104</v>
      </c>
      <c r="B79" s="300" t="s">
        <v>105</v>
      </c>
      <c r="C79" s="77" t="s">
        <v>106</v>
      </c>
      <c r="D79" s="114" t="s">
        <v>107</v>
      </c>
      <c r="E79" s="58"/>
      <c r="F79" s="39"/>
      <c r="G79" s="39"/>
      <c r="H79" s="35">
        <f>+G79-F79</f>
        <v>0</v>
      </c>
      <c r="I79" s="47">
        <f>+ROUND(IF(H79&gt;0,H79*E79,0),4)</f>
        <v>0</v>
      </c>
    </row>
    <row r="80" spans="1:18" ht="15" customHeight="1" x14ac:dyDescent="0.3">
      <c r="A80" s="299"/>
      <c r="B80" s="300"/>
      <c r="C80" s="77" t="s">
        <v>108</v>
      </c>
      <c r="D80" s="114" t="s">
        <v>109</v>
      </c>
      <c r="E80" s="58"/>
      <c r="F80" s="39"/>
      <c r="G80" s="39"/>
      <c r="H80" s="35">
        <f>+G80-F80</f>
        <v>0</v>
      </c>
      <c r="I80" s="47">
        <f>+ROUND(IF(H80&gt;0,H80*E80,0),4)</f>
        <v>0</v>
      </c>
    </row>
    <row r="81" spans="1:9" ht="15" customHeight="1" x14ac:dyDescent="0.3">
      <c r="A81" s="299"/>
      <c r="B81" s="300"/>
      <c r="C81" s="77" t="s">
        <v>74</v>
      </c>
      <c r="D81" s="300" t="s">
        <v>75</v>
      </c>
      <c r="E81" s="296"/>
      <c r="F81" s="39"/>
      <c r="G81" s="39"/>
      <c r="H81" s="35" t="s">
        <v>76</v>
      </c>
      <c r="I81" s="35" t="s">
        <v>76</v>
      </c>
    </row>
    <row r="82" spans="1:9" ht="15" customHeight="1" x14ac:dyDescent="0.3">
      <c r="A82" s="299"/>
      <c r="B82" s="300"/>
      <c r="C82" s="77" t="s">
        <v>77</v>
      </c>
      <c r="D82" s="300"/>
      <c r="E82" s="296"/>
      <c r="F82" s="39"/>
      <c r="G82" s="39"/>
      <c r="H82" s="35" t="s">
        <v>76</v>
      </c>
      <c r="I82" s="35" t="s">
        <v>76</v>
      </c>
    </row>
    <row r="83" spans="1:9" ht="15" customHeight="1" x14ac:dyDescent="0.3">
      <c r="A83" s="299"/>
      <c r="B83" s="300"/>
      <c r="C83" s="77" t="s">
        <v>78</v>
      </c>
      <c r="D83" s="300"/>
      <c r="E83" s="296"/>
      <c r="F83" s="35">
        <f>+F81+F82</f>
        <v>0</v>
      </c>
      <c r="G83" s="35">
        <f t="shared" ref="G83" si="26">+G81+G82</f>
        <v>0</v>
      </c>
      <c r="H83" s="35">
        <f>+G83-F83</f>
        <v>0</v>
      </c>
      <c r="I83" s="47">
        <f>+ROUND(IF(H83&gt;0,H83*E81,0),4)</f>
        <v>0</v>
      </c>
    </row>
    <row r="84" spans="1:9" ht="15" customHeight="1" x14ac:dyDescent="0.3">
      <c r="A84" s="299" t="s">
        <v>104</v>
      </c>
      <c r="B84" s="300" t="s">
        <v>110</v>
      </c>
      <c r="C84" s="77" t="s">
        <v>106</v>
      </c>
      <c r="D84" s="114" t="s">
        <v>107</v>
      </c>
      <c r="E84" s="58"/>
      <c r="F84" s="39"/>
      <c r="G84" s="39"/>
      <c r="H84" s="35">
        <f>+G84-F84</f>
        <v>0</v>
      </c>
      <c r="I84" s="47">
        <f t="shared" ref="I84" si="27">+ROUND(IF(H84&gt;0,H84*E84,0),4)</f>
        <v>0</v>
      </c>
    </row>
    <row r="85" spans="1:9" ht="15" customHeight="1" x14ac:dyDescent="0.3">
      <c r="A85" s="299"/>
      <c r="B85" s="300"/>
      <c r="C85" s="77" t="s">
        <v>108</v>
      </c>
      <c r="D85" s="114" t="s">
        <v>109</v>
      </c>
      <c r="E85" s="58"/>
      <c r="F85" s="39"/>
      <c r="G85" s="39"/>
      <c r="H85" s="35">
        <f>+G85-F85</f>
        <v>0</v>
      </c>
      <c r="I85" s="47">
        <f t="shared" ref="I85" si="28">+ROUND(IF(H85&gt;0,H85*E85,0),4)</f>
        <v>0</v>
      </c>
    </row>
    <row r="86" spans="1:9" ht="15" customHeight="1" x14ac:dyDescent="0.3">
      <c r="A86" s="299"/>
      <c r="B86" s="300"/>
      <c r="C86" s="77" t="s">
        <v>74</v>
      </c>
      <c r="D86" s="300" t="s">
        <v>75</v>
      </c>
      <c r="E86" s="296"/>
      <c r="F86" s="39"/>
      <c r="G86" s="39"/>
      <c r="H86" s="35" t="s">
        <v>76</v>
      </c>
      <c r="I86" s="35" t="s">
        <v>76</v>
      </c>
    </row>
    <row r="87" spans="1:9" x14ac:dyDescent="0.3">
      <c r="A87" s="299"/>
      <c r="B87" s="300"/>
      <c r="C87" s="77" t="s">
        <v>77</v>
      </c>
      <c r="D87" s="300"/>
      <c r="E87" s="296"/>
      <c r="F87" s="39"/>
      <c r="G87" s="39"/>
      <c r="H87" s="35" t="s">
        <v>76</v>
      </c>
      <c r="I87" s="35" t="s">
        <v>76</v>
      </c>
    </row>
    <row r="88" spans="1:9" x14ac:dyDescent="0.3">
      <c r="A88" s="299"/>
      <c r="B88" s="300"/>
      <c r="C88" s="77" t="s">
        <v>78</v>
      </c>
      <c r="D88" s="300"/>
      <c r="E88" s="296"/>
      <c r="F88" s="35">
        <f>+F86+F87</f>
        <v>0</v>
      </c>
      <c r="G88" s="35">
        <f t="shared" ref="G88" si="29">+G86+G87</f>
        <v>0</v>
      </c>
      <c r="H88" s="35">
        <f>+G88-F88</f>
        <v>0</v>
      </c>
      <c r="I88" s="47">
        <f>+ROUND(IF(H88&gt;0,H88*E86,0),4)</f>
        <v>0</v>
      </c>
    </row>
    <row r="89" spans="1:9" ht="15" customHeight="1" x14ac:dyDescent="0.3">
      <c r="A89" s="299" t="s">
        <v>104</v>
      </c>
      <c r="B89" s="300" t="s">
        <v>111</v>
      </c>
      <c r="C89" s="77" t="s">
        <v>106</v>
      </c>
      <c r="D89" s="114" t="s">
        <v>107</v>
      </c>
      <c r="E89" s="58"/>
      <c r="F89" s="39"/>
      <c r="G89" s="39"/>
      <c r="H89" s="35">
        <f>+G89-F89</f>
        <v>0</v>
      </c>
      <c r="I89" s="47">
        <f t="shared" ref="I89" si="30">+ROUND(IF(H89&gt;0,H89*E89,0),4)</f>
        <v>0</v>
      </c>
    </row>
    <row r="90" spans="1:9" ht="15" customHeight="1" x14ac:dyDescent="0.3">
      <c r="A90" s="299"/>
      <c r="B90" s="300"/>
      <c r="C90" s="77" t="s">
        <v>108</v>
      </c>
      <c r="D90" s="114" t="s">
        <v>109</v>
      </c>
      <c r="E90" s="58"/>
      <c r="F90" s="39"/>
      <c r="G90" s="39"/>
      <c r="H90" s="35">
        <f>+G90-F90</f>
        <v>0</v>
      </c>
      <c r="I90" s="47">
        <f t="shared" ref="I90" si="31">+ROUND(IF(H90&gt;0,H90*E90,0),4)</f>
        <v>0</v>
      </c>
    </row>
    <row r="91" spans="1:9" x14ac:dyDescent="0.3">
      <c r="A91" s="299"/>
      <c r="B91" s="300"/>
      <c r="C91" s="77" t="s">
        <v>74</v>
      </c>
      <c r="D91" s="300" t="s">
        <v>75</v>
      </c>
      <c r="E91" s="296"/>
      <c r="F91" s="39"/>
      <c r="G91" s="39"/>
      <c r="H91" s="35" t="s">
        <v>76</v>
      </c>
      <c r="I91" s="35" t="s">
        <v>76</v>
      </c>
    </row>
    <row r="92" spans="1:9" x14ac:dyDescent="0.3">
      <c r="A92" s="299"/>
      <c r="B92" s="300"/>
      <c r="C92" s="77" t="s">
        <v>77</v>
      </c>
      <c r="D92" s="300"/>
      <c r="E92" s="296"/>
      <c r="F92" s="39"/>
      <c r="G92" s="39"/>
      <c r="H92" s="35" t="s">
        <v>76</v>
      </c>
      <c r="I92" s="35" t="s">
        <v>76</v>
      </c>
    </row>
    <row r="93" spans="1:9" x14ac:dyDescent="0.3">
      <c r="A93" s="299"/>
      <c r="B93" s="300"/>
      <c r="C93" s="77" t="s">
        <v>78</v>
      </c>
      <c r="D93" s="300"/>
      <c r="E93" s="296"/>
      <c r="F93" s="35">
        <f>+F91+F92</f>
        <v>0</v>
      </c>
      <c r="G93" s="35">
        <f t="shared" ref="G93" si="32">+G91+G92</f>
        <v>0</v>
      </c>
      <c r="H93" s="35">
        <f>+G93-F93</f>
        <v>0</v>
      </c>
      <c r="I93" s="47">
        <f>+ROUND(IF(H93&gt;0,H93*E91,0),4)</f>
        <v>0</v>
      </c>
    </row>
    <row r="94" spans="1:9" ht="15" customHeight="1" x14ac:dyDescent="0.3">
      <c r="A94" s="299" t="s">
        <v>104</v>
      </c>
      <c r="B94" s="300" t="s">
        <v>112</v>
      </c>
      <c r="C94" s="77" t="s">
        <v>106</v>
      </c>
      <c r="D94" s="114" t="s">
        <v>107</v>
      </c>
      <c r="E94" s="58"/>
      <c r="F94" s="39"/>
      <c r="G94" s="39"/>
      <c r="H94" s="35">
        <f>+G94-F94</f>
        <v>0</v>
      </c>
      <c r="I94" s="47">
        <f>+ROUND(IF(H94&gt;0,H94*E94,0),4)</f>
        <v>0</v>
      </c>
    </row>
    <row r="95" spans="1:9" ht="15" customHeight="1" x14ac:dyDescent="0.3">
      <c r="A95" s="299"/>
      <c r="B95" s="300"/>
      <c r="C95" s="77" t="s">
        <v>108</v>
      </c>
      <c r="D95" s="114" t="s">
        <v>109</v>
      </c>
      <c r="E95" s="58"/>
      <c r="F95" s="39"/>
      <c r="G95" s="39"/>
      <c r="H95" s="35">
        <f>+G95-F95</f>
        <v>0</v>
      </c>
      <c r="I95" s="47">
        <f>+ROUND(IF(H95&gt;0,H95*E95,0),4)</f>
        <v>0</v>
      </c>
    </row>
    <row r="96" spans="1:9" x14ac:dyDescent="0.3">
      <c r="A96" s="299"/>
      <c r="B96" s="300"/>
      <c r="C96" s="77" t="s">
        <v>82</v>
      </c>
      <c r="D96" s="300" t="s">
        <v>75</v>
      </c>
      <c r="E96" s="296"/>
      <c r="F96" s="39"/>
      <c r="G96" s="39"/>
      <c r="H96" s="35" t="s">
        <v>76</v>
      </c>
      <c r="I96" s="35" t="s">
        <v>76</v>
      </c>
    </row>
    <row r="97" spans="1:9" x14ac:dyDescent="0.3">
      <c r="A97" s="299"/>
      <c r="B97" s="300"/>
      <c r="C97" s="77" t="s">
        <v>77</v>
      </c>
      <c r="D97" s="300"/>
      <c r="E97" s="296"/>
      <c r="F97" s="39"/>
      <c r="G97" s="39"/>
      <c r="H97" s="35" t="s">
        <v>76</v>
      </c>
      <c r="I97" s="35" t="s">
        <v>76</v>
      </c>
    </row>
    <row r="98" spans="1:9" x14ac:dyDescent="0.3">
      <c r="A98" s="299"/>
      <c r="B98" s="300"/>
      <c r="C98" s="77" t="s">
        <v>83</v>
      </c>
      <c r="D98" s="300"/>
      <c r="E98" s="296"/>
      <c r="F98" s="35">
        <f>+F96+F97</f>
        <v>0</v>
      </c>
      <c r="G98" s="35">
        <f t="shared" ref="G98" si="33">+G96+G97</f>
        <v>0</v>
      </c>
      <c r="H98" s="35">
        <f>+G98-F98</f>
        <v>0</v>
      </c>
      <c r="I98" s="47">
        <f>+ROUND(IF(H98&gt;0,H98*E96,0),4)</f>
        <v>0</v>
      </c>
    </row>
    <row r="99" spans="1:9" x14ac:dyDescent="0.3">
      <c r="A99" s="299"/>
      <c r="B99" s="300"/>
      <c r="C99" s="77" t="s">
        <v>84</v>
      </c>
      <c r="D99" s="300" t="s">
        <v>75</v>
      </c>
      <c r="E99" s="296"/>
      <c r="F99" s="39"/>
      <c r="G99" s="39"/>
      <c r="H99" s="35" t="s">
        <v>76</v>
      </c>
      <c r="I99" s="35" t="s">
        <v>76</v>
      </c>
    </row>
    <row r="100" spans="1:9" x14ac:dyDescent="0.3">
      <c r="A100" s="299"/>
      <c r="B100" s="300"/>
      <c r="C100" s="77" t="s">
        <v>77</v>
      </c>
      <c r="D100" s="300"/>
      <c r="E100" s="296"/>
      <c r="F100" s="39"/>
      <c r="G100" s="39"/>
      <c r="H100" s="35" t="s">
        <v>76</v>
      </c>
      <c r="I100" s="35" t="s">
        <v>76</v>
      </c>
    </row>
    <row r="101" spans="1:9" ht="15" customHeight="1" x14ac:dyDescent="0.3">
      <c r="A101" s="299"/>
      <c r="B101" s="300"/>
      <c r="C101" s="77" t="s">
        <v>85</v>
      </c>
      <c r="D101" s="300"/>
      <c r="E101" s="296"/>
      <c r="F101" s="35">
        <f>+F99+F100</f>
        <v>0</v>
      </c>
      <c r="G101" s="35">
        <f t="shared" ref="G101" si="34">+G99+G100</f>
        <v>0</v>
      </c>
      <c r="H101" s="35">
        <f>+G101-F101</f>
        <v>0</v>
      </c>
      <c r="I101" s="47">
        <f>+ROUND(IF(H101&gt;0,H101*E99,0),4)</f>
        <v>0</v>
      </c>
    </row>
    <row r="102" spans="1:9" x14ac:dyDescent="0.3">
      <c r="A102" s="299" t="s">
        <v>104</v>
      </c>
      <c r="B102" s="300" t="s">
        <v>113</v>
      </c>
      <c r="C102" s="77" t="s">
        <v>106</v>
      </c>
      <c r="D102" s="114" t="s">
        <v>107</v>
      </c>
      <c r="E102" s="58"/>
      <c r="F102" s="39"/>
      <c r="G102" s="39"/>
      <c r="H102" s="35">
        <f>+G102-F102</f>
        <v>0</v>
      </c>
      <c r="I102" s="47">
        <f t="shared" ref="I102" si="35">+ROUND(IF(H102&gt;0,H102*E102,0),4)</f>
        <v>0</v>
      </c>
    </row>
    <row r="103" spans="1:9" x14ac:dyDescent="0.3">
      <c r="A103" s="299"/>
      <c r="B103" s="300"/>
      <c r="C103" s="77" t="s">
        <v>108</v>
      </c>
      <c r="D103" s="114" t="s">
        <v>109</v>
      </c>
      <c r="E103" s="58"/>
      <c r="F103" s="39"/>
      <c r="G103" s="39"/>
      <c r="H103" s="35">
        <f>+G103-F103</f>
        <v>0</v>
      </c>
      <c r="I103" s="47">
        <f>+ROUND(IF(H103&gt;0,H103*E103,0),4)</f>
        <v>0</v>
      </c>
    </row>
    <row r="104" spans="1:9" x14ac:dyDescent="0.3">
      <c r="A104" s="299"/>
      <c r="B104" s="300"/>
      <c r="C104" s="77" t="s">
        <v>82</v>
      </c>
      <c r="D104" s="300" t="s">
        <v>75</v>
      </c>
      <c r="E104" s="296"/>
      <c r="F104" s="39"/>
      <c r="G104" s="39"/>
      <c r="H104" s="35" t="s">
        <v>76</v>
      </c>
      <c r="I104" s="35" t="s">
        <v>76</v>
      </c>
    </row>
    <row r="105" spans="1:9" x14ac:dyDescent="0.3">
      <c r="A105" s="299"/>
      <c r="B105" s="300"/>
      <c r="C105" s="77" t="s">
        <v>77</v>
      </c>
      <c r="D105" s="300"/>
      <c r="E105" s="296"/>
      <c r="F105" s="39"/>
      <c r="G105" s="39"/>
      <c r="H105" s="35" t="s">
        <v>76</v>
      </c>
      <c r="I105" s="35" t="s">
        <v>76</v>
      </c>
    </row>
    <row r="106" spans="1:9" x14ac:dyDescent="0.3">
      <c r="A106" s="299"/>
      <c r="B106" s="300"/>
      <c r="C106" s="77" t="s">
        <v>83</v>
      </c>
      <c r="D106" s="300"/>
      <c r="E106" s="296"/>
      <c r="F106" s="35">
        <f>+F104+F105</f>
        <v>0</v>
      </c>
      <c r="G106" s="35">
        <f t="shared" ref="G106" si="36">+G104+G105</f>
        <v>0</v>
      </c>
      <c r="H106" s="35">
        <f>+G106-F106</f>
        <v>0</v>
      </c>
      <c r="I106" s="47">
        <f>+ROUND(IF(H106&gt;0,H106*E104,0),4)</f>
        <v>0</v>
      </c>
    </row>
    <row r="107" spans="1:9" x14ac:dyDescent="0.3">
      <c r="A107" s="299"/>
      <c r="B107" s="300"/>
      <c r="C107" s="77" t="s">
        <v>84</v>
      </c>
      <c r="D107" s="300" t="s">
        <v>75</v>
      </c>
      <c r="E107" s="296"/>
      <c r="F107" s="39"/>
      <c r="G107" s="39"/>
      <c r="H107" s="35" t="s">
        <v>76</v>
      </c>
      <c r="I107" s="35" t="s">
        <v>76</v>
      </c>
    </row>
    <row r="108" spans="1:9" x14ac:dyDescent="0.3">
      <c r="A108" s="299"/>
      <c r="B108" s="300"/>
      <c r="C108" s="77" t="s">
        <v>77</v>
      </c>
      <c r="D108" s="300"/>
      <c r="E108" s="296"/>
      <c r="F108" s="39"/>
      <c r="G108" s="39"/>
      <c r="H108" s="35" t="s">
        <v>76</v>
      </c>
      <c r="I108" s="35" t="s">
        <v>76</v>
      </c>
    </row>
    <row r="109" spans="1:9" x14ac:dyDescent="0.3">
      <c r="A109" s="299"/>
      <c r="B109" s="300"/>
      <c r="C109" s="77" t="s">
        <v>85</v>
      </c>
      <c r="D109" s="300"/>
      <c r="E109" s="296"/>
      <c r="F109" s="35">
        <f>+F107+F108</f>
        <v>0</v>
      </c>
      <c r="G109" s="35">
        <f t="shared" ref="G109" si="37">+G107+G108</f>
        <v>0</v>
      </c>
      <c r="H109" s="35">
        <f>+G109-F109</f>
        <v>0</v>
      </c>
      <c r="I109" s="47">
        <f>+ROUND(IF(H109&gt;0,H109*E107,0),4)</f>
        <v>0</v>
      </c>
    </row>
    <row r="110" spans="1:9" x14ac:dyDescent="0.3">
      <c r="A110" s="299" t="s">
        <v>104</v>
      </c>
      <c r="B110" s="300" t="s">
        <v>114</v>
      </c>
      <c r="C110" s="77" t="s">
        <v>106</v>
      </c>
      <c r="D110" s="114" t="s">
        <v>107</v>
      </c>
      <c r="E110" s="58"/>
      <c r="F110" s="39"/>
      <c r="G110" s="39"/>
      <c r="H110" s="35">
        <f>+G110-F110</f>
        <v>0</v>
      </c>
      <c r="I110" s="47">
        <f>+ROUND(IF(H110&gt;0,H110*E110,0),4)</f>
        <v>0</v>
      </c>
    </row>
    <row r="111" spans="1:9" x14ac:dyDescent="0.3">
      <c r="A111" s="299"/>
      <c r="B111" s="300"/>
      <c r="C111" s="77" t="s">
        <v>108</v>
      </c>
      <c r="D111" s="114" t="s">
        <v>109</v>
      </c>
      <c r="E111" s="58"/>
      <c r="F111" s="39"/>
      <c r="G111" s="39"/>
      <c r="H111" s="35">
        <f>+G111-F111</f>
        <v>0</v>
      </c>
      <c r="I111" s="47">
        <f>+ROUND(IF(H111&gt;0,H111*E111,0),4)</f>
        <v>0</v>
      </c>
    </row>
    <row r="112" spans="1:9" x14ac:dyDescent="0.3">
      <c r="A112" s="299"/>
      <c r="B112" s="300"/>
      <c r="C112" s="77" t="s">
        <v>82</v>
      </c>
      <c r="D112" s="300" t="s">
        <v>75</v>
      </c>
      <c r="E112" s="296"/>
      <c r="F112" s="39"/>
      <c r="G112" s="39"/>
      <c r="H112" s="35" t="s">
        <v>76</v>
      </c>
      <c r="I112" s="35" t="s">
        <v>76</v>
      </c>
    </row>
    <row r="113" spans="1:9" x14ac:dyDescent="0.3">
      <c r="A113" s="299"/>
      <c r="B113" s="300"/>
      <c r="C113" s="77" t="s">
        <v>77</v>
      </c>
      <c r="D113" s="300"/>
      <c r="E113" s="296"/>
      <c r="F113" s="39"/>
      <c r="G113" s="39"/>
      <c r="H113" s="35" t="s">
        <v>76</v>
      </c>
      <c r="I113" s="35" t="s">
        <v>76</v>
      </c>
    </row>
    <row r="114" spans="1:9" x14ac:dyDescent="0.3">
      <c r="A114" s="299"/>
      <c r="B114" s="300"/>
      <c r="C114" s="77" t="s">
        <v>83</v>
      </c>
      <c r="D114" s="300"/>
      <c r="E114" s="296"/>
      <c r="F114" s="35">
        <f>+F112+F113</f>
        <v>0</v>
      </c>
      <c r="G114" s="35">
        <f t="shared" ref="G114" si="38">+G112+G113</f>
        <v>0</v>
      </c>
      <c r="H114" s="35">
        <f>+G114-F114</f>
        <v>0</v>
      </c>
      <c r="I114" s="47">
        <f>+ROUND(IF(H114&gt;0,H114*E112,0),4)</f>
        <v>0</v>
      </c>
    </row>
    <row r="115" spans="1:9" x14ac:dyDescent="0.3">
      <c r="A115" s="299"/>
      <c r="B115" s="300"/>
      <c r="C115" s="77" t="s">
        <v>84</v>
      </c>
      <c r="D115" s="300" t="s">
        <v>75</v>
      </c>
      <c r="E115" s="296"/>
      <c r="F115" s="39"/>
      <c r="G115" s="39"/>
      <c r="H115" s="35" t="s">
        <v>76</v>
      </c>
      <c r="I115" s="35" t="s">
        <v>76</v>
      </c>
    </row>
    <row r="116" spans="1:9" x14ac:dyDescent="0.3">
      <c r="A116" s="299"/>
      <c r="B116" s="300"/>
      <c r="C116" s="77" t="s">
        <v>77</v>
      </c>
      <c r="D116" s="300"/>
      <c r="E116" s="296"/>
      <c r="F116" s="39"/>
      <c r="G116" s="39"/>
      <c r="H116" s="35" t="s">
        <v>76</v>
      </c>
      <c r="I116" s="35" t="s">
        <v>76</v>
      </c>
    </row>
    <row r="117" spans="1:9" x14ac:dyDescent="0.3">
      <c r="A117" s="299"/>
      <c r="B117" s="300"/>
      <c r="C117" s="77" t="s">
        <v>85</v>
      </c>
      <c r="D117" s="300"/>
      <c r="E117" s="296"/>
      <c r="F117" s="35">
        <f>+F115+F116</f>
        <v>0</v>
      </c>
      <c r="G117" s="35">
        <f t="shared" ref="G117" si="39">+G115+G116</f>
        <v>0</v>
      </c>
      <c r="H117" s="35">
        <f>+G117-F117</f>
        <v>0</v>
      </c>
      <c r="I117" s="47">
        <f>+ROUND(IF(H117&gt;0,H117*E115,0),4)</f>
        <v>0</v>
      </c>
    </row>
    <row r="118" spans="1:9" x14ac:dyDescent="0.3">
      <c r="A118" s="299" t="s">
        <v>104</v>
      </c>
      <c r="B118" s="300" t="s">
        <v>115</v>
      </c>
      <c r="C118" s="77" t="s">
        <v>106</v>
      </c>
      <c r="D118" s="114" t="s">
        <v>107</v>
      </c>
      <c r="E118" s="58"/>
      <c r="F118" s="39"/>
      <c r="G118" s="39"/>
      <c r="H118" s="35">
        <f>+G118-F118</f>
        <v>0</v>
      </c>
      <c r="I118" s="47">
        <f>+ROUND(IF(H118&gt;0,H118*E118,0),4)</f>
        <v>0</v>
      </c>
    </row>
    <row r="119" spans="1:9" x14ac:dyDescent="0.3">
      <c r="A119" s="299"/>
      <c r="B119" s="300"/>
      <c r="C119" s="77" t="s">
        <v>108</v>
      </c>
      <c r="D119" s="114" t="s">
        <v>109</v>
      </c>
      <c r="E119" s="58"/>
      <c r="F119" s="39"/>
      <c r="G119" s="39"/>
      <c r="H119" s="35">
        <f>+G119-F119</f>
        <v>0</v>
      </c>
      <c r="I119" s="47">
        <f>+ROUND(IF(H119&gt;0,H119*E119,0),4)</f>
        <v>0</v>
      </c>
    </row>
    <row r="120" spans="1:9" x14ac:dyDescent="0.3">
      <c r="A120" s="299"/>
      <c r="B120" s="300"/>
      <c r="C120" s="77" t="s">
        <v>82</v>
      </c>
      <c r="D120" s="300" t="s">
        <v>75</v>
      </c>
      <c r="E120" s="296"/>
      <c r="F120" s="39"/>
      <c r="G120" s="39"/>
      <c r="H120" s="35" t="s">
        <v>76</v>
      </c>
      <c r="I120" s="35" t="s">
        <v>76</v>
      </c>
    </row>
    <row r="121" spans="1:9" x14ac:dyDescent="0.3">
      <c r="A121" s="299"/>
      <c r="B121" s="300"/>
      <c r="C121" s="77" t="s">
        <v>77</v>
      </c>
      <c r="D121" s="300"/>
      <c r="E121" s="296"/>
      <c r="F121" s="39"/>
      <c r="G121" s="39"/>
      <c r="H121" s="35" t="s">
        <v>76</v>
      </c>
      <c r="I121" s="35" t="s">
        <v>76</v>
      </c>
    </row>
    <row r="122" spans="1:9" x14ac:dyDescent="0.3">
      <c r="A122" s="299"/>
      <c r="B122" s="300"/>
      <c r="C122" s="77" t="s">
        <v>83</v>
      </c>
      <c r="D122" s="300"/>
      <c r="E122" s="296"/>
      <c r="F122" s="35">
        <f>+F120+F121</f>
        <v>0</v>
      </c>
      <c r="G122" s="35">
        <f t="shared" ref="G122" si="40">+G120+G121</f>
        <v>0</v>
      </c>
      <c r="H122" s="35">
        <f>+G122-F122</f>
        <v>0</v>
      </c>
      <c r="I122" s="47">
        <f>+ROUND(IF(H122&gt;0,H122*E120,0),4)</f>
        <v>0</v>
      </c>
    </row>
    <row r="123" spans="1:9" x14ac:dyDescent="0.3">
      <c r="A123" s="299"/>
      <c r="B123" s="300"/>
      <c r="C123" s="77" t="s">
        <v>84</v>
      </c>
      <c r="D123" s="300" t="s">
        <v>75</v>
      </c>
      <c r="E123" s="296"/>
      <c r="F123" s="39"/>
      <c r="G123" s="39"/>
      <c r="H123" s="35" t="s">
        <v>76</v>
      </c>
      <c r="I123" s="35" t="s">
        <v>76</v>
      </c>
    </row>
    <row r="124" spans="1:9" x14ac:dyDescent="0.3">
      <c r="A124" s="299"/>
      <c r="B124" s="300"/>
      <c r="C124" s="77" t="s">
        <v>77</v>
      </c>
      <c r="D124" s="300"/>
      <c r="E124" s="296"/>
      <c r="F124" s="39"/>
      <c r="G124" s="39"/>
      <c r="H124" s="35" t="s">
        <v>76</v>
      </c>
      <c r="I124" s="35" t="s">
        <v>76</v>
      </c>
    </row>
    <row r="125" spans="1:9" x14ac:dyDescent="0.3">
      <c r="A125" s="299"/>
      <c r="B125" s="300"/>
      <c r="C125" s="77" t="s">
        <v>85</v>
      </c>
      <c r="D125" s="300"/>
      <c r="E125" s="296"/>
      <c r="F125" s="35">
        <f>+F123+F124</f>
        <v>0</v>
      </c>
      <c r="G125" s="35">
        <f t="shared" ref="G125" si="41">+G123+G124</f>
        <v>0</v>
      </c>
      <c r="H125" s="35">
        <f>+G125-F125</f>
        <v>0</v>
      </c>
      <c r="I125" s="47">
        <f>+ROUND(IF(H125&gt;0,H125*E123,0),4)</f>
        <v>0</v>
      </c>
    </row>
    <row r="126" spans="1:9" x14ac:dyDescent="0.3">
      <c r="A126" s="299" t="s">
        <v>104</v>
      </c>
      <c r="B126" s="300" t="s">
        <v>116</v>
      </c>
      <c r="C126" s="77" t="s">
        <v>106</v>
      </c>
      <c r="D126" s="114" t="s">
        <v>107</v>
      </c>
      <c r="E126" s="58"/>
      <c r="F126" s="39"/>
      <c r="G126" s="39"/>
      <c r="H126" s="35">
        <f>+G126-F126</f>
        <v>0</v>
      </c>
      <c r="I126" s="47">
        <f>+ROUND(IF(H126&gt;0,H126*E126,0),4)</f>
        <v>0</v>
      </c>
    </row>
    <row r="127" spans="1:9" x14ac:dyDescent="0.3">
      <c r="A127" s="299"/>
      <c r="B127" s="300"/>
      <c r="C127" s="77" t="s">
        <v>108</v>
      </c>
      <c r="D127" s="114" t="s">
        <v>109</v>
      </c>
      <c r="E127" s="58"/>
      <c r="F127" s="39"/>
      <c r="G127" s="39"/>
      <c r="H127" s="35">
        <f>+G127-F127</f>
        <v>0</v>
      </c>
      <c r="I127" s="47">
        <f>+ROUND(IF(H127&gt;0,H127*E127,0),4)</f>
        <v>0</v>
      </c>
    </row>
    <row r="128" spans="1:9" x14ac:dyDescent="0.3">
      <c r="A128" s="299"/>
      <c r="B128" s="300"/>
      <c r="C128" s="77" t="s">
        <v>82</v>
      </c>
      <c r="D128" s="300" t="s">
        <v>75</v>
      </c>
      <c r="E128" s="296"/>
      <c r="F128" s="39"/>
      <c r="G128" s="39"/>
      <c r="H128" s="35" t="s">
        <v>76</v>
      </c>
      <c r="I128" s="35" t="s">
        <v>76</v>
      </c>
    </row>
    <row r="129" spans="1:11" x14ac:dyDescent="0.3">
      <c r="A129" s="299"/>
      <c r="B129" s="300"/>
      <c r="C129" s="77" t="s">
        <v>77</v>
      </c>
      <c r="D129" s="300"/>
      <c r="E129" s="296"/>
      <c r="F129" s="39"/>
      <c r="G129" s="39"/>
      <c r="H129" s="35" t="s">
        <v>76</v>
      </c>
      <c r="I129" s="35" t="s">
        <v>76</v>
      </c>
    </row>
    <row r="130" spans="1:11" x14ac:dyDescent="0.3">
      <c r="A130" s="299"/>
      <c r="B130" s="300"/>
      <c r="C130" s="77" t="s">
        <v>83</v>
      </c>
      <c r="D130" s="300"/>
      <c r="E130" s="296"/>
      <c r="F130" s="35">
        <f>+F128+F129</f>
        <v>0</v>
      </c>
      <c r="G130" s="35">
        <f t="shared" ref="G130" si="42">+G128+G129</f>
        <v>0</v>
      </c>
      <c r="H130" s="35">
        <f>+G130-F130</f>
        <v>0</v>
      </c>
      <c r="I130" s="47">
        <f>+ROUND(IF(H130&gt;0,H130*E128,0),4)</f>
        <v>0</v>
      </c>
    </row>
    <row r="131" spans="1:11" x14ac:dyDescent="0.3">
      <c r="A131" s="299"/>
      <c r="B131" s="300"/>
      <c r="C131" s="77" t="s">
        <v>84</v>
      </c>
      <c r="D131" s="300" t="s">
        <v>75</v>
      </c>
      <c r="E131" s="296"/>
      <c r="F131" s="39"/>
      <c r="G131" s="39"/>
      <c r="H131" s="35" t="s">
        <v>76</v>
      </c>
      <c r="I131" s="35" t="s">
        <v>76</v>
      </c>
    </row>
    <row r="132" spans="1:11" x14ac:dyDescent="0.3">
      <c r="A132" s="299"/>
      <c r="B132" s="300"/>
      <c r="C132" s="77" t="s">
        <v>77</v>
      </c>
      <c r="D132" s="300"/>
      <c r="E132" s="296"/>
      <c r="F132" s="39"/>
      <c r="G132" s="39"/>
      <c r="H132" s="35" t="s">
        <v>76</v>
      </c>
      <c r="I132" s="35" t="s">
        <v>76</v>
      </c>
    </row>
    <row r="133" spans="1:11" x14ac:dyDescent="0.3">
      <c r="A133" s="299"/>
      <c r="B133" s="300"/>
      <c r="C133" s="77" t="s">
        <v>85</v>
      </c>
      <c r="D133" s="300"/>
      <c r="E133" s="296"/>
      <c r="F133" s="35">
        <f>+F131+F132</f>
        <v>0</v>
      </c>
      <c r="G133" s="35">
        <f t="shared" ref="G133" si="43">+G131+G132</f>
        <v>0</v>
      </c>
      <c r="H133" s="35">
        <f>+G133-F133</f>
        <v>0</v>
      </c>
      <c r="I133" s="47">
        <f>+ROUND(IF(H133&gt;0,H133*E131,0),4)</f>
        <v>0</v>
      </c>
    </row>
    <row r="134" spans="1:11" x14ac:dyDescent="0.3">
      <c r="A134" s="311" t="s">
        <v>104</v>
      </c>
      <c r="B134" s="312" t="s">
        <v>117</v>
      </c>
      <c r="C134" s="78" t="s">
        <v>73</v>
      </c>
      <c r="D134" s="115" t="s">
        <v>118</v>
      </c>
      <c r="E134" s="59"/>
      <c r="F134" s="43"/>
      <c r="G134" s="43"/>
      <c r="H134" s="36">
        <f>+G134-F134</f>
        <v>0</v>
      </c>
      <c r="I134" s="47">
        <f>+ROUND(IF(H134&gt;0,H134*E134,0),4)</f>
        <v>0</v>
      </c>
    </row>
    <row r="135" spans="1:11" x14ac:dyDescent="0.3">
      <c r="A135" s="311" t="s">
        <v>119</v>
      </c>
      <c r="B135" s="312"/>
      <c r="C135" s="78" t="s">
        <v>73</v>
      </c>
      <c r="D135" s="115" t="s">
        <v>120</v>
      </c>
      <c r="E135" s="59"/>
      <c r="F135" s="43"/>
      <c r="G135" s="43"/>
      <c r="H135" s="36">
        <f t="shared" ref="H135" si="44">+G135-F135</f>
        <v>0</v>
      </c>
      <c r="I135" s="47">
        <f t="shared" ref="I135:I137" si="45">+ROUND(IF(H135&gt;0,H135*E135,0),4)</f>
        <v>0</v>
      </c>
    </row>
    <row r="136" spans="1:11" x14ac:dyDescent="0.3">
      <c r="A136" s="299" t="s">
        <v>104</v>
      </c>
      <c r="B136" s="300" t="s">
        <v>121</v>
      </c>
      <c r="C136" s="77" t="s">
        <v>106</v>
      </c>
      <c r="D136" s="114" t="s">
        <v>107</v>
      </c>
      <c r="E136" s="58"/>
      <c r="F136" s="39"/>
      <c r="G136" s="39"/>
      <c r="H136" s="35">
        <f>+G136-F136</f>
        <v>0</v>
      </c>
      <c r="I136" s="47">
        <f t="shared" si="45"/>
        <v>0</v>
      </c>
    </row>
    <row r="137" spans="1:11" x14ac:dyDescent="0.3">
      <c r="A137" s="299"/>
      <c r="B137" s="300"/>
      <c r="C137" s="77" t="s">
        <v>108</v>
      </c>
      <c r="D137" s="114" t="s">
        <v>109</v>
      </c>
      <c r="E137" s="58"/>
      <c r="F137" s="39"/>
      <c r="G137" s="39"/>
      <c r="H137" s="35">
        <f>+G137-F137</f>
        <v>0</v>
      </c>
      <c r="I137" s="47">
        <f t="shared" si="45"/>
        <v>0</v>
      </c>
    </row>
    <row r="138" spans="1:11" x14ac:dyDescent="0.3">
      <c r="A138" s="299"/>
      <c r="B138" s="300"/>
      <c r="C138" s="77" t="s">
        <v>74</v>
      </c>
      <c r="D138" s="300" t="s">
        <v>75</v>
      </c>
      <c r="E138" s="296"/>
      <c r="F138" s="39"/>
      <c r="G138" s="39"/>
      <c r="H138" s="35" t="s">
        <v>76</v>
      </c>
      <c r="I138" s="35" t="s">
        <v>76</v>
      </c>
    </row>
    <row r="139" spans="1:11" x14ac:dyDescent="0.3">
      <c r="A139" s="299"/>
      <c r="B139" s="300"/>
      <c r="C139" s="77" t="s">
        <v>77</v>
      </c>
      <c r="D139" s="300"/>
      <c r="E139" s="296"/>
      <c r="F139" s="39"/>
      <c r="G139" s="39"/>
      <c r="H139" s="35" t="s">
        <v>76</v>
      </c>
      <c r="I139" s="35" t="s">
        <v>76</v>
      </c>
    </row>
    <row r="140" spans="1:11" x14ac:dyDescent="0.3">
      <c r="A140" s="299"/>
      <c r="B140" s="300"/>
      <c r="C140" s="77" t="s">
        <v>78</v>
      </c>
      <c r="D140" s="300"/>
      <c r="E140" s="296"/>
      <c r="F140" s="35">
        <f>+F138+F139</f>
        <v>0</v>
      </c>
      <c r="G140" s="35">
        <f t="shared" ref="G140" si="46">+G138+G139</f>
        <v>0</v>
      </c>
      <c r="H140" s="35">
        <f>+G140-F140</f>
        <v>0</v>
      </c>
      <c r="I140" s="47">
        <f>+ROUND(IF(H140&gt;0,H140*E138,0),4)</f>
        <v>0</v>
      </c>
      <c r="J140" s="128"/>
      <c r="K140" s="128"/>
    </row>
    <row r="141" spans="1:11" s="128" customFormat="1" x14ac:dyDescent="0.3">
      <c r="A141" s="303" t="s">
        <v>104</v>
      </c>
      <c r="B141" s="306" t="s">
        <v>122</v>
      </c>
      <c r="C141" s="77" t="s">
        <v>73</v>
      </c>
      <c r="D141" s="114" t="s">
        <v>118</v>
      </c>
      <c r="E141" s="58"/>
      <c r="F141" s="39"/>
      <c r="G141" s="39"/>
      <c r="H141" s="35">
        <f>+G141-F141</f>
        <v>0</v>
      </c>
      <c r="I141" s="47">
        <f>+ROUND(IF(H141&gt;0,H141*E141,0),4)</f>
        <v>0</v>
      </c>
    </row>
    <row r="142" spans="1:11" s="128" customFormat="1" x14ac:dyDescent="0.3">
      <c r="A142" s="304"/>
      <c r="B142" s="307"/>
      <c r="C142" s="77" t="s">
        <v>106</v>
      </c>
      <c r="D142" s="114" t="s">
        <v>107</v>
      </c>
      <c r="E142" s="58"/>
      <c r="F142" s="39"/>
      <c r="G142" s="39"/>
      <c r="H142" s="35">
        <f>+G142-F142</f>
        <v>0</v>
      </c>
      <c r="I142" s="47">
        <f>+ROUND(IF(H142&gt;0,H142*E142,0),4)</f>
        <v>0</v>
      </c>
    </row>
    <row r="143" spans="1:11" s="128" customFormat="1" x14ac:dyDescent="0.3">
      <c r="A143" s="304"/>
      <c r="B143" s="307"/>
      <c r="C143" s="77" t="s">
        <v>108</v>
      </c>
      <c r="D143" s="116" t="s">
        <v>109</v>
      </c>
      <c r="E143" s="58"/>
      <c r="F143" s="39"/>
      <c r="G143" s="39"/>
      <c r="H143" s="35">
        <f>+G143-F143</f>
        <v>0</v>
      </c>
      <c r="I143" s="47">
        <f>+ROUND(IF(H143&gt;0,H143*E143,0),4)</f>
        <v>0</v>
      </c>
      <c r="J143" s="75"/>
      <c r="K143" s="75"/>
    </row>
    <row r="144" spans="1:11" ht="14.4" customHeight="1" x14ac:dyDescent="0.3">
      <c r="A144" s="304"/>
      <c r="B144" s="307"/>
      <c r="C144" s="77" t="s">
        <v>74</v>
      </c>
      <c r="D144" s="300" t="s">
        <v>75</v>
      </c>
      <c r="E144" s="296"/>
      <c r="F144" s="39"/>
      <c r="G144" s="39"/>
      <c r="H144" s="35" t="s">
        <v>76</v>
      </c>
      <c r="I144" s="35" t="s">
        <v>76</v>
      </c>
    </row>
    <row r="145" spans="1:9" x14ac:dyDescent="0.3">
      <c r="A145" s="304"/>
      <c r="B145" s="307"/>
      <c r="C145" s="77" t="s">
        <v>77</v>
      </c>
      <c r="D145" s="300"/>
      <c r="E145" s="296"/>
      <c r="F145" s="39"/>
      <c r="G145" s="39"/>
      <c r="H145" s="35" t="s">
        <v>76</v>
      </c>
      <c r="I145" s="35" t="s">
        <v>76</v>
      </c>
    </row>
    <row r="146" spans="1:9" x14ac:dyDescent="0.3">
      <c r="A146" s="305"/>
      <c r="B146" s="308"/>
      <c r="C146" s="77" t="s">
        <v>78</v>
      </c>
      <c r="D146" s="300"/>
      <c r="E146" s="296"/>
      <c r="F146" s="35">
        <f>+F144+F145</f>
        <v>0</v>
      </c>
      <c r="G146" s="35">
        <f>+G144+G145</f>
        <v>0</v>
      </c>
      <c r="H146" s="35">
        <f>+G146-F146</f>
        <v>0</v>
      </c>
      <c r="I146" s="47">
        <f>+ROUND(IF(H146&gt;0,H146*E144,0),4)</f>
        <v>0</v>
      </c>
    </row>
    <row r="147" spans="1:9" x14ac:dyDescent="0.3">
      <c r="A147" s="299" t="s">
        <v>104</v>
      </c>
      <c r="B147" s="300" t="s">
        <v>123</v>
      </c>
      <c r="C147" s="77" t="s">
        <v>106</v>
      </c>
      <c r="D147" s="114" t="s">
        <v>107</v>
      </c>
      <c r="E147" s="58"/>
      <c r="F147" s="39"/>
      <c r="G147" s="39"/>
      <c r="H147" s="35">
        <f>+G147-F147</f>
        <v>0</v>
      </c>
      <c r="I147" s="47">
        <f t="shared" ref="I147" si="47">+ROUND(IF(H147&gt;0,H147*E147,0),4)</f>
        <v>0</v>
      </c>
    </row>
    <row r="148" spans="1:9" x14ac:dyDescent="0.3">
      <c r="A148" s="299"/>
      <c r="B148" s="300"/>
      <c r="C148" s="77" t="s">
        <v>108</v>
      </c>
      <c r="D148" s="114" t="s">
        <v>109</v>
      </c>
      <c r="E148" s="58"/>
      <c r="F148" s="39"/>
      <c r="G148" s="39"/>
      <c r="H148" s="35">
        <f>+G148-F148</f>
        <v>0</v>
      </c>
      <c r="I148" s="47">
        <f>+ROUND(IF(H148&gt;0,H148*E148,0),4)</f>
        <v>0</v>
      </c>
    </row>
    <row r="149" spans="1:9" x14ac:dyDescent="0.3">
      <c r="A149" s="299"/>
      <c r="B149" s="300"/>
      <c r="C149" s="77" t="s">
        <v>82</v>
      </c>
      <c r="D149" s="300" t="s">
        <v>75</v>
      </c>
      <c r="E149" s="296"/>
      <c r="F149" s="39"/>
      <c r="G149" s="39"/>
      <c r="H149" s="35" t="s">
        <v>76</v>
      </c>
      <c r="I149" s="35" t="s">
        <v>76</v>
      </c>
    </row>
    <row r="150" spans="1:9" x14ac:dyDescent="0.3">
      <c r="A150" s="299"/>
      <c r="B150" s="300"/>
      <c r="C150" s="77" t="s">
        <v>77</v>
      </c>
      <c r="D150" s="300"/>
      <c r="E150" s="296"/>
      <c r="F150" s="39"/>
      <c r="G150" s="39"/>
      <c r="H150" s="35" t="s">
        <v>76</v>
      </c>
      <c r="I150" s="35" t="s">
        <v>76</v>
      </c>
    </row>
    <row r="151" spans="1:9" x14ac:dyDescent="0.3">
      <c r="A151" s="299"/>
      <c r="B151" s="300"/>
      <c r="C151" s="77" t="s">
        <v>83</v>
      </c>
      <c r="D151" s="300"/>
      <c r="E151" s="296"/>
      <c r="F151" s="35">
        <f>+F149+F150</f>
        <v>0</v>
      </c>
      <c r="G151" s="35">
        <f t="shared" ref="G151" si="48">+G149+G150</f>
        <v>0</v>
      </c>
      <c r="H151" s="35">
        <f>+G151-F151</f>
        <v>0</v>
      </c>
      <c r="I151" s="47">
        <f>+ROUND(IF(H151&gt;0,H151*E149,0),4)</f>
        <v>0</v>
      </c>
    </row>
    <row r="152" spans="1:9" x14ac:dyDescent="0.3">
      <c r="A152" s="299"/>
      <c r="B152" s="300"/>
      <c r="C152" s="77" t="s">
        <v>84</v>
      </c>
      <c r="D152" s="300" t="s">
        <v>75</v>
      </c>
      <c r="E152" s="296"/>
      <c r="F152" s="39"/>
      <c r="G152" s="39"/>
      <c r="H152" s="35" t="s">
        <v>76</v>
      </c>
      <c r="I152" s="35" t="s">
        <v>76</v>
      </c>
    </row>
    <row r="153" spans="1:9" x14ac:dyDescent="0.3">
      <c r="A153" s="299"/>
      <c r="B153" s="300"/>
      <c r="C153" s="77" t="s">
        <v>77</v>
      </c>
      <c r="D153" s="300"/>
      <c r="E153" s="296"/>
      <c r="F153" s="39"/>
      <c r="G153" s="39"/>
      <c r="H153" s="35" t="s">
        <v>76</v>
      </c>
      <c r="I153" s="35" t="s">
        <v>76</v>
      </c>
    </row>
    <row r="154" spans="1:9" x14ac:dyDescent="0.3">
      <c r="A154" s="299"/>
      <c r="B154" s="300"/>
      <c r="C154" s="77" t="s">
        <v>85</v>
      </c>
      <c r="D154" s="300"/>
      <c r="E154" s="296"/>
      <c r="F154" s="35">
        <f>+F152+F153</f>
        <v>0</v>
      </c>
      <c r="G154" s="35">
        <f t="shared" ref="G154" si="49">+G152+G153</f>
        <v>0</v>
      </c>
      <c r="H154" s="35">
        <f>+G154-F154</f>
        <v>0</v>
      </c>
      <c r="I154" s="47">
        <f>+ROUND(IF(H154&gt;0,H154*E152,0),4)</f>
        <v>0</v>
      </c>
    </row>
    <row r="155" spans="1:9" x14ac:dyDescent="0.3">
      <c r="A155" s="299" t="s">
        <v>104</v>
      </c>
      <c r="B155" s="300" t="s">
        <v>124</v>
      </c>
      <c r="C155" s="77" t="s">
        <v>106</v>
      </c>
      <c r="D155" s="114" t="s">
        <v>107</v>
      </c>
      <c r="E155" s="58"/>
      <c r="F155" s="39"/>
      <c r="G155" s="39"/>
      <c r="H155" s="35">
        <f>+G155-F155</f>
        <v>0</v>
      </c>
      <c r="I155" s="47">
        <f t="shared" ref="I155" si="50">+ROUND(IF(H155&gt;0,H155*E155,0),4)</f>
        <v>0</v>
      </c>
    </row>
    <row r="156" spans="1:9" x14ac:dyDescent="0.3">
      <c r="A156" s="299"/>
      <c r="B156" s="300"/>
      <c r="C156" s="77" t="s">
        <v>108</v>
      </c>
      <c r="D156" s="114" t="s">
        <v>109</v>
      </c>
      <c r="E156" s="58"/>
      <c r="F156" s="39"/>
      <c r="G156" s="39"/>
      <c r="H156" s="35">
        <f>+G156-F156</f>
        <v>0</v>
      </c>
      <c r="I156" s="47">
        <f t="shared" ref="I156" si="51">+ROUND(IF(H156&gt;0,H156*E156,0),4)</f>
        <v>0</v>
      </c>
    </row>
    <row r="157" spans="1:9" x14ac:dyDescent="0.3">
      <c r="A157" s="299"/>
      <c r="B157" s="300"/>
      <c r="C157" s="77" t="s">
        <v>94</v>
      </c>
      <c r="D157" s="300" t="s">
        <v>75</v>
      </c>
      <c r="E157" s="296"/>
      <c r="F157" s="39"/>
      <c r="G157" s="39"/>
      <c r="H157" s="35" t="s">
        <v>76</v>
      </c>
      <c r="I157" s="35" t="s">
        <v>76</v>
      </c>
    </row>
    <row r="158" spans="1:9" x14ac:dyDescent="0.3">
      <c r="A158" s="299"/>
      <c r="B158" s="300"/>
      <c r="C158" s="77" t="s">
        <v>77</v>
      </c>
      <c r="D158" s="300"/>
      <c r="E158" s="296"/>
      <c r="F158" s="39"/>
      <c r="G158" s="39"/>
      <c r="H158" s="35" t="s">
        <v>76</v>
      </c>
      <c r="I158" s="35" t="s">
        <v>76</v>
      </c>
    </row>
    <row r="159" spans="1:9" x14ac:dyDescent="0.3">
      <c r="A159" s="299"/>
      <c r="B159" s="300"/>
      <c r="C159" s="77" t="s">
        <v>95</v>
      </c>
      <c r="D159" s="300"/>
      <c r="E159" s="296"/>
      <c r="F159" s="35">
        <f>+F157+F158</f>
        <v>0</v>
      </c>
      <c r="G159" s="35">
        <f t="shared" ref="G159" si="52">+G157+G158</f>
        <v>0</v>
      </c>
      <c r="H159" s="35">
        <f>+G159-F159</f>
        <v>0</v>
      </c>
      <c r="I159" s="47">
        <f>+ROUND(IF(H159&gt;0,H159*E157,0),4)</f>
        <v>0</v>
      </c>
    </row>
    <row r="160" spans="1:9" x14ac:dyDescent="0.3">
      <c r="A160" s="299"/>
      <c r="B160" s="300"/>
      <c r="C160" s="77" t="s">
        <v>82</v>
      </c>
      <c r="D160" s="300" t="s">
        <v>75</v>
      </c>
      <c r="E160" s="296"/>
      <c r="F160" s="39"/>
      <c r="G160" s="39"/>
      <c r="H160" s="35" t="s">
        <v>76</v>
      </c>
      <c r="I160" s="35" t="s">
        <v>76</v>
      </c>
    </row>
    <row r="161" spans="1:18" x14ac:dyDescent="0.3">
      <c r="A161" s="299"/>
      <c r="B161" s="300"/>
      <c r="C161" s="77" t="s">
        <v>77</v>
      </c>
      <c r="D161" s="300"/>
      <c r="E161" s="296"/>
      <c r="F161" s="39"/>
      <c r="G161" s="39"/>
      <c r="H161" s="35" t="s">
        <v>76</v>
      </c>
      <c r="I161" s="35" t="s">
        <v>76</v>
      </c>
    </row>
    <row r="162" spans="1:18" x14ac:dyDescent="0.3">
      <c r="A162" s="299"/>
      <c r="B162" s="300"/>
      <c r="C162" s="77" t="s">
        <v>83</v>
      </c>
      <c r="D162" s="300"/>
      <c r="E162" s="296"/>
      <c r="F162" s="35">
        <f>+F160+F161</f>
        <v>0</v>
      </c>
      <c r="G162" s="35">
        <f t="shared" ref="G162" si="53">+G160+G161</f>
        <v>0</v>
      </c>
      <c r="H162" s="35">
        <f>+G162-F162</f>
        <v>0</v>
      </c>
      <c r="I162" s="47">
        <f>+ROUND(IF(H162&gt;0,H162*E160,0),4)</f>
        <v>0</v>
      </c>
    </row>
    <row r="163" spans="1:18" x14ac:dyDescent="0.3">
      <c r="A163" s="299"/>
      <c r="B163" s="300"/>
      <c r="C163" s="77" t="s">
        <v>84</v>
      </c>
      <c r="D163" s="300" t="s">
        <v>75</v>
      </c>
      <c r="E163" s="296"/>
      <c r="F163" s="39"/>
      <c r="G163" s="39"/>
      <c r="H163" s="35" t="s">
        <v>76</v>
      </c>
      <c r="I163" s="35" t="s">
        <v>76</v>
      </c>
    </row>
    <row r="164" spans="1:18" x14ac:dyDescent="0.3">
      <c r="A164" s="299"/>
      <c r="B164" s="300"/>
      <c r="C164" s="77" t="s">
        <v>77</v>
      </c>
      <c r="D164" s="300"/>
      <c r="E164" s="296"/>
      <c r="F164" s="39"/>
      <c r="G164" s="39"/>
      <c r="H164" s="35" t="s">
        <v>76</v>
      </c>
      <c r="I164" s="35" t="s">
        <v>76</v>
      </c>
    </row>
    <row r="165" spans="1:18" x14ac:dyDescent="0.3">
      <c r="A165" s="299"/>
      <c r="B165" s="300"/>
      <c r="C165" s="77" t="s">
        <v>85</v>
      </c>
      <c r="D165" s="300"/>
      <c r="E165" s="296"/>
      <c r="F165" s="35">
        <f>+F163+F164</f>
        <v>0</v>
      </c>
      <c r="G165" s="35">
        <f t="shared" ref="G165" si="54">+G163+G164</f>
        <v>0</v>
      </c>
      <c r="H165" s="35">
        <f>+G165-F165</f>
        <v>0</v>
      </c>
      <c r="I165" s="47">
        <f>+ROUND(IF(H165&gt;0,H165*E163,0),4)</f>
        <v>0</v>
      </c>
    </row>
    <row r="166" spans="1:18" x14ac:dyDescent="0.3">
      <c r="A166" s="299"/>
      <c r="B166" s="300"/>
      <c r="C166" s="77" t="s">
        <v>96</v>
      </c>
      <c r="D166" s="300" t="s">
        <v>75</v>
      </c>
      <c r="E166" s="296"/>
      <c r="F166" s="39"/>
      <c r="G166" s="39"/>
      <c r="H166" s="35" t="s">
        <v>76</v>
      </c>
      <c r="I166" s="35" t="s">
        <v>76</v>
      </c>
    </row>
    <row r="167" spans="1:18" x14ac:dyDescent="0.3">
      <c r="A167" s="299"/>
      <c r="B167" s="300"/>
      <c r="C167" s="77" t="s">
        <v>77</v>
      </c>
      <c r="D167" s="300"/>
      <c r="E167" s="296"/>
      <c r="F167" s="39"/>
      <c r="G167" s="39"/>
      <c r="H167" s="35" t="s">
        <v>76</v>
      </c>
      <c r="I167" s="35" t="s">
        <v>76</v>
      </c>
    </row>
    <row r="168" spans="1:18" x14ac:dyDescent="0.3">
      <c r="A168" s="299"/>
      <c r="B168" s="300"/>
      <c r="C168" s="77" t="s">
        <v>97</v>
      </c>
      <c r="D168" s="300"/>
      <c r="E168" s="296"/>
      <c r="F168" s="35">
        <f>+F166+F167</f>
        <v>0</v>
      </c>
      <c r="G168" s="35">
        <f t="shared" ref="G168" si="55">+G166+G167</f>
        <v>0</v>
      </c>
      <c r="H168" s="35">
        <f>+G168-F168</f>
        <v>0</v>
      </c>
      <c r="I168" s="47">
        <f>+ROUND(IF(H168&gt;0,H168*E166,0),4)</f>
        <v>0</v>
      </c>
      <c r="N168" s="75" t="s">
        <v>98</v>
      </c>
      <c r="O168" s="75" t="s">
        <v>125</v>
      </c>
      <c r="P168" s="75" t="s">
        <v>100</v>
      </c>
      <c r="Q168" s="75" t="s">
        <v>101</v>
      </c>
      <c r="R168" s="75" t="s">
        <v>102</v>
      </c>
    </row>
    <row r="169" spans="1:18" x14ac:dyDescent="0.3">
      <c r="A169" s="314" t="s">
        <v>104</v>
      </c>
      <c r="B169" s="315" t="s">
        <v>103</v>
      </c>
      <c r="C169" s="103" t="s">
        <v>73</v>
      </c>
      <c r="D169" s="111" t="s">
        <v>76</v>
      </c>
      <c r="E169" s="49" t="s">
        <v>76</v>
      </c>
      <c r="F169" s="49" t="s">
        <v>76</v>
      </c>
      <c r="G169" s="49" t="s">
        <v>76</v>
      </c>
      <c r="H169" s="49" t="s">
        <v>76</v>
      </c>
      <c r="I169" s="49">
        <f>N169</f>
        <v>0</v>
      </c>
      <c r="N169" s="136">
        <f>ROUND(SUM(I79:I80,I84:I85,I89:I90,I94:I95,I102:I103,I110:I111,I118:I119,I126:I127,I134:I137,I147:I148,I155:I156,I141:I143),6)</f>
        <v>0</v>
      </c>
      <c r="O169" s="136">
        <f>ROUND(SUM(E81,E86,E91,E96,E99,E104,E107,E112,E115,E120,E123,E128,E131,E138,E144,E149,E152,E157,E160,E163,E166),3)</f>
        <v>0</v>
      </c>
      <c r="P169" s="147">
        <f>Q169*O169</f>
        <v>0</v>
      </c>
      <c r="Q169" s="147">
        <f>IFERROR(ROUND((N169+N170)/O169,6),0)</f>
        <v>0</v>
      </c>
      <c r="R169" s="75">
        <f>ROUND(Q169*O169*1.2,2)</f>
        <v>0</v>
      </c>
    </row>
    <row r="170" spans="1:18" x14ac:dyDescent="0.3">
      <c r="A170" s="314"/>
      <c r="B170" s="315"/>
      <c r="C170" s="103" t="s">
        <v>78</v>
      </c>
      <c r="D170" s="84" t="s">
        <v>75</v>
      </c>
      <c r="E170" s="144">
        <f>O169</f>
        <v>0</v>
      </c>
      <c r="F170" s="49" t="s">
        <v>76</v>
      </c>
      <c r="G170" s="49" t="s">
        <v>76</v>
      </c>
      <c r="H170" s="49" t="s">
        <v>76</v>
      </c>
      <c r="I170" s="49">
        <f>N170</f>
        <v>0</v>
      </c>
      <c r="N170" s="136">
        <f>ROUND(SUM(I83,I88,I93,I98,I101,I106,I109,I114,I117,I122,I125,I130,I133,I140,I146,I151,I154,I159,I162,I165,I168),6)</f>
        <v>0</v>
      </c>
    </row>
    <row r="171" spans="1:18" x14ac:dyDescent="0.3">
      <c r="A171" s="300" t="s">
        <v>119</v>
      </c>
      <c r="B171" s="300" t="s">
        <v>126</v>
      </c>
      <c r="C171" s="79" t="s">
        <v>127</v>
      </c>
      <c r="D171" s="67"/>
      <c r="E171" s="58"/>
      <c r="F171" s="58"/>
      <c r="G171" s="58"/>
      <c r="H171" s="35">
        <f t="shared" ref="H171:H180" si="56">+G171-F171</f>
        <v>0</v>
      </c>
      <c r="I171" s="47">
        <f>+ROUND(IF(H171&gt;0,H171*E171,0),4)</f>
        <v>0</v>
      </c>
    </row>
    <row r="172" spans="1:18" x14ac:dyDescent="0.3">
      <c r="A172" s="300"/>
      <c r="B172" s="300"/>
      <c r="C172" s="79" t="s">
        <v>128</v>
      </c>
      <c r="D172" s="67"/>
      <c r="E172" s="58"/>
      <c r="F172" s="58"/>
      <c r="G172" s="58"/>
      <c r="H172" s="35">
        <f t="shared" si="56"/>
        <v>0</v>
      </c>
      <c r="I172" s="47">
        <f t="shared" ref="I172:I180" si="57">+ROUND(IF(H172&gt;0,H172*E172,0),4)</f>
        <v>0</v>
      </c>
    </row>
    <row r="173" spans="1:18" x14ac:dyDescent="0.3">
      <c r="A173" s="300"/>
      <c r="B173" s="300"/>
      <c r="C173" s="79" t="s">
        <v>129</v>
      </c>
      <c r="D173" s="67" t="s">
        <v>130</v>
      </c>
      <c r="E173" s="58"/>
      <c r="F173" s="58"/>
      <c r="G173" s="58"/>
      <c r="H173" s="35">
        <f t="shared" si="56"/>
        <v>0</v>
      </c>
      <c r="I173" s="47">
        <f t="shared" si="57"/>
        <v>0</v>
      </c>
    </row>
    <row r="174" spans="1:18" x14ac:dyDescent="0.3">
      <c r="A174" s="300"/>
      <c r="B174" s="300"/>
      <c r="C174" s="80" t="s">
        <v>131</v>
      </c>
      <c r="D174" s="67"/>
      <c r="E174" s="58"/>
      <c r="F174" s="58"/>
      <c r="G174" s="58"/>
      <c r="H174" s="35">
        <f t="shared" si="56"/>
        <v>0</v>
      </c>
      <c r="I174" s="47">
        <f t="shared" si="57"/>
        <v>0</v>
      </c>
    </row>
    <row r="175" spans="1:18" x14ac:dyDescent="0.3">
      <c r="A175" s="300"/>
      <c r="B175" s="300"/>
      <c r="C175" s="79" t="s">
        <v>132</v>
      </c>
      <c r="D175" s="114"/>
      <c r="E175" s="58"/>
      <c r="F175" s="39"/>
      <c r="G175" s="39"/>
      <c r="H175" s="35">
        <f t="shared" si="56"/>
        <v>0</v>
      </c>
      <c r="I175" s="47">
        <f t="shared" si="57"/>
        <v>0</v>
      </c>
    </row>
    <row r="176" spans="1:18" x14ac:dyDescent="0.3">
      <c r="A176" s="300"/>
      <c r="B176" s="300"/>
      <c r="C176" s="79" t="s">
        <v>133</v>
      </c>
      <c r="D176" s="114"/>
      <c r="E176" s="58"/>
      <c r="F176" s="39"/>
      <c r="G176" s="39"/>
      <c r="H176" s="35">
        <f t="shared" si="56"/>
        <v>0</v>
      </c>
      <c r="I176" s="47">
        <f t="shared" si="57"/>
        <v>0</v>
      </c>
    </row>
    <row r="177" spans="1:9" ht="24.75" customHeight="1" x14ac:dyDescent="0.3">
      <c r="A177" s="300"/>
      <c r="B177" s="300"/>
      <c r="C177" s="79" t="s">
        <v>134</v>
      </c>
      <c r="D177" s="114"/>
      <c r="E177" s="58"/>
      <c r="F177" s="39"/>
      <c r="G177" s="39"/>
      <c r="H177" s="35">
        <f t="shared" si="56"/>
        <v>0</v>
      </c>
      <c r="I177" s="47">
        <f t="shared" si="57"/>
        <v>0</v>
      </c>
    </row>
    <row r="178" spans="1:9" ht="27" customHeight="1" x14ac:dyDescent="0.3">
      <c r="A178" s="300"/>
      <c r="B178" s="300"/>
      <c r="C178" s="79" t="s">
        <v>135</v>
      </c>
      <c r="D178" s="114"/>
      <c r="E178" s="58"/>
      <c r="F178" s="39"/>
      <c r="G178" s="39"/>
      <c r="H178" s="35">
        <f t="shared" si="56"/>
        <v>0</v>
      </c>
      <c r="I178" s="47">
        <f t="shared" si="57"/>
        <v>0</v>
      </c>
    </row>
    <row r="179" spans="1:9" x14ac:dyDescent="0.3">
      <c r="A179" s="300"/>
      <c r="B179" s="300"/>
      <c r="C179" s="79" t="s">
        <v>136</v>
      </c>
      <c r="D179" s="114"/>
      <c r="E179" s="58"/>
      <c r="F179" s="39"/>
      <c r="G179" s="39"/>
      <c r="H179" s="35">
        <f t="shared" si="56"/>
        <v>0</v>
      </c>
      <c r="I179" s="47">
        <f t="shared" si="57"/>
        <v>0</v>
      </c>
    </row>
    <row r="180" spans="1:9" x14ac:dyDescent="0.3">
      <c r="A180" s="300"/>
      <c r="B180" s="300"/>
      <c r="C180" s="79" t="s">
        <v>137</v>
      </c>
      <c r="D180" s="114"/>
      <c r="E180" s="58"/>
      <c r="F180" s="39"/>
      <c r="G180" s="39"/>
      <c r="H180" s="35">
        <f t="shared" si="56"/>
        <v>0</v>
      </c>
      <c r="I180" s="47">
        <f t="shared" si="57"/>
        <v>0</v>
      </c>
    </row>
    <row r="181" spans="1:9" x14ac:dyDescent="0.3">
      <c r="A181" s="300"/>
      <c r="B181" s="300"/>
      <c r="C181" s="79" t="s">
        <v>74</v>
      </c>
      <c r="D181" s="300" t="s">
        <v>75</v>
      </c>
      <c r="E181" s="296"/>
      <c r="F181" s="39"/>
      <c r="G181" s="39"/>
      <c r="H181" s="35" t="s">
        <v>76</v>
      </c>
      <c r="I181" s="35" t="s">
        <v>76</v>
      </c>
    </row>
    <row r="182" spans="1:9" x14ac:dyDescent="0.3">
      <c r="A182" s="300"/>
      <c r="B182" s="300"/>
      <c r="C182" s="79" t="s">
        <v>77</v>
      </c>
      <c r="D182" s="300"/>
      <c r="E182" s="296"/>
      <c r="F182" s="39"/>
      <c r="G182" s="39"/>
      <c r="H182" s="35" t="s">
        <v>76</v>
      </c>
      <c r="I182" s="35" t="s">
        <v>76</v>
      </c>
    </row>
    <row r="183" spans="1:9" x14ac:dyDescent="0.3">
      <c r="A183" s="300"/>
      <c r="B183" s="300"/>
      <c r="C183" s="79" t="s">
        <v>78</v>
      </c>
      <c r="D183" s="300"/>
      <c r="E183" s="296"/>
      <c r="F183" s="35">
        <f>+F181+F182</f>
        <v>0</v>
      </c>
      <c r="G183" s="35">
        <f t="shared" ref="G183" si="58">+G181+G182</f>
        <v>0</v>
      </c>
      <c r="H183" s="35">
        <f>+G183-F183</f>
        <v>0</v>
      </c>
      <c r="I183" s="47">
        <f>+ROUND(IF(H183&gt;0,H183*E181,0),4)</f>
        <v>0</v>
      </c>
    </row>
    <row r="184" spans="1:9" x14ac:dyDescent="0.3">
      <c r="A184" s="300"/>
      <c r="B184" s="300"/>
      <c r="C184" s="79" t="s">
        <v>138</v>
      </c>
      <c r="D184" s="300" t="s">
        <v>75</v>
      </c>
      <c r="E184" s="296"/>
      <c r="F184" s="39"/>
      <c r="G184" s="39"/>
      <c r="H184" s="35" t="s">
        <v>76</v>
      </c>
      <c r="I184" s="35" t="s">
        <v>76</v>
      </c>
    </row>
    <row r="185" spans="1:9" x14ac:dyDescent="0.3">
      <c r="A185" s="300"/>
      <c r="B185" s="300"/>
      <c r="C185" s="79" t="s">
        <v>77</v>
      </c>
      <c r="D185" s="300"/>
      <c r="E185" s="296"/>
      <c r="F185" s="39"/>
      <c r="G185" s="39"/>
      <c r="H185" s="35" t="s">
        <v>76</v>
      </c>
      <c r="I185" s="35" t="s">
        <v>76</v>
      </c>
    </row>
    <row r="186" spans="1:9" x14ac:dyDescent="0.3">
      <c r="A186" s="300"/>
      <c r="B186" s="300"/>
      <c r="C186" s="79" t="s">
        <v>139</v>
      </c>
      <c r="D186" s="300"/>
      <c r="E186" s="296"/>
      <c r="F186" s="35">
        <f>+F184+F185</f>
        <v>0</v>
      </c>
      <c r="G186" s="35">
        <f t="shared" ref="G186" si="59">+G184+G185</f>
        <v>0</v>
      </c>
      <c r="H186" s="35">
        <f>+G186-F186</f>
        <v>0</v>
      </c>
      <c r="I186" s="47">
        <f>+ROUND(IF(H186&gt;0,H186*E184,0),4)</f>
        <v>0</v>
      </c>
    </row>
    <row r="187" spans="1:9" x14ac:dyDescent="0.3">
      <c r="A187" s="300"/>
      <c r="B187" s="300"/>
      <c r="C187" s="79" t="s">
        <v>140</v>
      </c>
      <c r="D187" s="300" t="s">
        <v>75</v>
      </c>
      <c r="E187" s="296"/>
      <c r="F187" s="39"/>
      <c r="G187" s="39"/>
      <c r="H187" s="35" t="s">
        <v>76</v>
      </c>
      <c r="I187" s="35" t="s">
        <v>76</v>
      </c>
    </row>
    <row r="188" spans="1:9" x14ac:dyDescent="0.3">
      <c r="A188" s="300"/>
      <c r="B188" s="300"/>
      <c r="C188" s="79" t="s">
        <v>77</v>
      </c>
      <c r="D188" s="300"/>
      <c r="E188" s="296"/>
      <c r="F188" s="39"/>
      <c r="G188" s="39"/>
      <c r="H188" s="35" t="s">
        <v>76</v>
      </c>
      <c r="I188" s="35" t="s">
        <v>76</v>
      </c>
    </row>
    <row r="189" spans="1:9" x14ac:dyDescent="0.3">
      <c r="A189" s="300"/>
      <c r="B189" s="300"/>
      <c r="C189" s="79" t="s">
        <v>141</v>
      </c>
      <c r="D189" s="300"/>
      <c r="E189" s="296"/>
      <c r="F189" s="35">
        <f>+F187+F188</f>
        <v>0</v>
      </c>
      <c r="G189" s="35">
        <f t="shared" ref="G189" si="60">+G187+G188</f>
        <v>0</v>
      </c>
      <c r="H189" s="35">
        <f>+G189-F189</f>
        <v>0</v>
      </c>
      <c r="I189" s="47">
        <f>+ROUND(IF(H189&gt;0,H189*E187,0),4)</f>
        <v>0</v>
      </c>
    </row>
    <row r="190" spans="1:9" x14ac:dyDescent="0.3">
      <c r="A190" s="299" t="s">
        <v>119</v>
      </c>
      <c r="B190" s="300" t="s">
        <v>142</v>
      </c>
      <c r="C190" s="77" t="s">
        <v>73</v>
      </c>
      <c r="D190" s="114"/>
      <c r="E190" s="58"/>
      <c r="F190" s="39"/>
      <c r="G190" s="39"/>
      <c r="H190" s="35">
        <f>+G190-F190</f>
        <v>0</v>
      </c>
      <c r="I190" s="47">
        <f>+ROUND(IF(H190&gt;0,H190*E190,0),4)</f>
        <v>0</v>
      </c>
    </row>
    <row r="191" spans="1:9" x14ac:dyDescent="0.3">
      <c r="A191" s="299"/>
      <c r="B191" s="300"/>
      <c r="C191" s="77" t="s">
        <v>74</v>
      </c>
      <c r="D191" s="300" t="s">
        <v>75</v>
      </c>
      <c r="E191" s="296"/>
      <c r="F191" s="39"/>
      <c r="G191" s="39"/>
      <c r="H191" s="35" t="s">
        <v>76</v>
      </c>
      <c r="I191" s="35" t="s">
        <v>76</v>
      </c>
    </row>
    <row r="192" spans="1:9" x14ac:dyDescent="0.3">
      <c r="A192" s="299"/>
      <c r="B192" s="300"/>
      <c r="C192" s="77" t="s">
        <v>77</v>
      </c>
      <c r="D192" s="300"/>
      <c r="E192" s="296"/>
      <c r="F192" s="39"/>
      <c r="G192" s="39"/>
      <c r="H192" s="35" t="s">
        <v>76</v>
      </c>
      <c r="I192" s="35" t="s">
        <v>76</v>
      </c>
    </row>
    <row r="193" spans="1:18" x14ac:dyDescent="0.3">
      <c r="A193" s="299"/>
      <c r="B193" s="300"/>
      <c r="C193" s="77" t="s">
        <v>78</v>
      </c>
      <c r="D193" s="300"/>
      <c r="E193" s="296"/>
      <c r="F193" s="35">
        <f>+F191+F192</f>
        <v>0</v>
      </c>
      <c r="G193" s="35">
        <f t="shared" ref="G193" si="61">+G191+G192</f>
        <v>0</v>
      </c>
      <c r="H193" s="35">
        <f>+G193-F193</f>
        <v>0</v>
      </c>
      <c r="I193" s="47">
        <f>+ROUND(IF(H193&gt;0,H193*E191,0),4)</f>
        <v>0</v>
      </c>
    </row>
    <row r="194" spans="1:18" x14ac:dyDescent="0.3">
      <c r="A194" s="311" t="s">
        <v>119</v>
      </c>
      <c r="B194" s="312" t="s">
        <v>143</v>
      </c>
      <c r="C194" s="78" t="s">
        <v>144</v>
      </c>
      <c r="D194" s="115"/>
      <c r="E194" s="59"/>
      <c r="F194" s="43"/>
      <c r="G194" s="43"/>
      <c r="H194" s="36">
        <f>+G194-F194</f>
        <v>0</v>
      </c>
      <c r="I194" s="48">
        <f>ROUND(IF(H194&gt;0,H194*E194,0),4)</f>
        <v>0</v>
      </c>
    </row>
    <row r="195" spans="1:18" x14ac:dyDescent="0.3">
      <c r="A195" s="311"/>
      <c r="B195" s="312"/>
      <c r="C195" s="78" t="s">
        <v>74</v>
      </c>
      <c r="D195" s="300" t="s">
        <v>75</v>
      </c>
      <c r="E195" s="313"/>
      <c r="F195" s="43"/>
      <c r="G195" s="43"/>
      <c r="H195" s="36" t="s">
        <v>76</v>
      </c>
      <c r="I195" s="36" t="s">
        <v>76</v>
      </c>
    </row>
    <row r="196" spans="1:18" x14ac:dyDescent="0.3">
      <c r="A196" s="311"/>
      <c r="B196" s="312"/>
      <c r="C196" s="78" t="s">
        <v>77</v>
      </c>
      <c r="D196" s="300"/>
      <c r="E196" s="313"/>
      <c r="F196" s="43"/>
      <c r="G196" s="43"/>
      <c r="H196" s="36" t="s">
        <v>76</v>
      </c>
      <c r="I196" s="36" t="s">
        <v>76</v>
      </c>
    </row>
    <row r="197" spans="1:18" x14ac:dyDescent="0.3">
      <c r="A197" s="311"/>
      <c r="B197" s="312"/>
      <c r="C197" s="78" t="s">
        <v>78</v>
      </c>
      <c r="D197" s="300"/>
      <c r="E197" s="313"/>
      <c r="F197" s="36">
        <f>+F195+F196</f>
        <v>0</v>
      </c>
      <c r="G197" s="36">
        <f t="shared" ref="G197" si="62">+G195+G196</f>
        <v>0</v>
      </c>
      <c r="H197" s="36">
        <f>+G197-F197</f>
        <v>0</v>
      </c>
      <c r="I197" s="48">
        <f>ROUND(IF(H197&gt;0,H197*E195,0),4)</f>
        <v>0</v>
      </c>
    </row>
    <row r="198" spans="1:18" x14ac:dyDescent="0.3">
      <c r="A198" s="299" t="s">
        <v>119</v>
      </c>
      <c r="B198" s="300" t="s">
        <v>145</v>
      </c>
      <c r="C198" s="77" t="s">
        <v>74</v>
      </c>
      <c r="D198" s="300" t="s">
        <v>75</v>
      </c>
      <c r="E198" s="296"/>
      <c r="F198" s="39"/>
      <c r="G198" s="39"/>
      <c r="H198" s="35" t="s">
        <v>76</v>
      </c>
      <c r="I198" s="35" t="s">
        <v>76</v>
      </c>
    </row>
    <row r="199" spans="1:18" x14ac:dyDescent="0.3">
      <c r="A199" s="299"/>
      <c r="B199" s="300"/>
      <c r="C199" s="77" t="s">
        <v>77</v>
      </c>
      <c r="D199" s="300"/>
      <c r="E199" s="296"/>
      <c r="F199" s="39"/>
      <c r="G199" s="39"/>
      <c r="H199" s="35" t="s">
        <v>76</v>
      </c>
      <c r="I199" s="35" t="s">
        <v>76</v>
      </c>
    </row>
    <row r="200" spans="1:18" x14ac:dyDescent="0.3">
      <c r="A200" s="299"/>
      <c r="B200" s="300"/>
      <c r="C200" s="77" t="s">
        <v>78</v>
      </c>
      <c r="D200" s="300"/>
      <c r="E200" s="296"/>
      <c r="F200" s="35">
        <f>+F198+F199</f>
        <v>0</v>
      </c>
      <c r="G200" s="35">
        <f t="shared" ref="G200" si="63">+G198+G199</f>
        <v>0</v>
      </c>
      <c r="H200" s="35">
        <f>+G200-F200</f>
        <v>0</v>
      </c>
      <c r="I200" s="47">
        <f>+ROUND(IF(H200&gt;0,H200*E198,0),4)</f>
        <v>0</v>
      </c>
      <c r="N200" s="75" t="s">
        <v>98</v>
      </c>
      <c r="O200" s="75" t="s">
        <v>125</v>
      </c>
      <c r="P200" s="75" t="s">
        <v>100</v>
      </c>
      <c r="Q200" s="75" t="s">
        <v>101</v>
      </c>
      <c r="R200" s="75" t="s">
        <v>102</v>
      </c>
    </row>
    <row r="201" spans="1:18" x14ac:dyDescent="0.3">
      <c r="A201" s="314" t="s">
        <v>119</v>
      </c>
      <c r="B201" s="315" t="s">
        <v>103</v>
      </c>
      <c r="C201" s="103" t="s">
        <v>73</v>
      </c>
      <c r="D201" s="110" t="s">
        <v>76</v>
      </c>
      <c r="E201" s="49" t="s">
        <v>76</v>
      </c>
      <c r="F201" s="49" t="s">
        <v>76</v>
      </c>
      <c r="G201" s="49" t="s">
        <v>76</v>
      </c>
      <c r="H201" s="49" t="s">
        <v>76</v>
      </c>
      <c r="I201" s="49">
        <f>N201</f>
        <v>0</v>
      </c>
      <c r="N201" s="136">
        <f>ROUND(SUM(I171:I180,I190,I194),6)</f>
        <v>0</v>
      </c>
      <c r="O201" s="136">
        <f>ROUND(+E181+E184+E187+E191+E198+E195,3)</f>
        <v>0</v>
      </c>
      <c r="P201" s="75">
        <f>Q201*O201</f>
        <v>0</v>
      </c>
      <c r="Q201" s="75">
        <f>IFERROR(ROUND((N201+N202)/O201,6),0)</f>
        <v>0</v>
      </c>
      <c r="R201" s="75">
        <f>ROUND(Q201*O201*1.2,2)</f>
        <v>0</v>
      </c>
    </row>
    <row r="202" spans="1:18" ht="15" customHeight="1" x14ac:dyDescent="0.3">
      <c r="A202" s="314"/>
      <c r="B202" s="315"/>
      <c r="C202" s="103" t="s">
        <v>78</v>
      </c>
      <c r="D202" s="84" t="s">
        <v>75</v>
      </c>
      <c r="E202" s="144">
        <f>O201</f>
        <v>0</v>
      </c>
      <c r="F202" s="49" t="s">
        <v>76</v>
      </c>
      <c r="G202" s="49" t="s">
        <v>76</v>
      </c>
      <c r="H202" s="49" t="s">
        <v>76</v>
      </c>
      <c r="I202" s="49">
        <f>N202</f>
        <v>0</v>
      </c>
      <c r="N202" s="136">
        <f>ROUND(I183+I186+I189+I193+I200+I197,6)</f>
        <v>0</v>
      </c>
    </row>
    <row r="203" spans="1:18" ht="15" customHeight="1" x14ac:dyDescent="0.3">
      <c r="A203" s="300" t="s">
        <v>146</v>
      </c>
      <c r="B203" s="300" t="s">
        <v>147</v>
      </c>
      <c r="C203" s="79" t="s">
        <v>127</v>
      </c>
      <c r="D203" s="114"/>
      <c r="E203" s="58"/>
      <c r="F203" s="39"/>
      <c r="G203" s="39"/>
      <c r="H203" s="35">
        <f t="shared" ref="H203:H211" si="64">+G203-F203</f>
        <v>0</v>
      </c>
      <c r="I203" s="47">
        <f t="shared" ref="I203:I211" si="65">+ROUND(IF(H203&gt;0,H203*E203,0),4)</f>
        <v>0</v>
      </c>
    </row>
    <row r="204" spans="1:18" ht="15" customHeight="1" x14ac:dyDescent="0.3">
      <c r="A204" s="300"/>
      <c r="B204" s="300"/>
      <c r="C204" s="79" t="s">
        <v>128</v>
      </c>
      <c r="D204" s="114"/>
      <c r="E204" s="58"/>
      <c r="F204" s="39"/>
      <c r="G204" s="39"/>
      <c r="H204" s="35">
        <f t="shared" si="64"/>
        <v>0</v>
      </c>
      <c r="I204" s="47">
        <f t="shared" si="65"/>
        <v>0</v>
      </c>
    </row>
    <row r="205" spans="1:18" x14ac:dyDescent="0.3">
      <c r="A205" s="300"/>
      <c r="B205" s="300"/>
      <c r="C205" s="79" t="s">
        <v>129</v>
      </c>
      <c r="D205" s="114"/>
      <c r="E205" s="58"/>
      <c r="F205" s="39"/>
      <c r="G205" s="39"/>
      <c r="H205" s="35">
        <f t="shared" si="64"/>
        <v>0</v>
      </c>
      <c r="I205" s="47">
        <f t="shared" si="65"/>
        <v>0</v>
      </c>
    </row>
    <row r="206" spans="1:18" x14ac:dyDescent="0.3">
      <c r="A206" s="300"/>
      <c r="B206" s="300"/>
      <c r="C206" s="79" t="s">
        <v>148</v>
      </c>
      <c r="D206" s="114"/>
      <c r="E206" s="58"/>
      <c r="F206" s="39"/>
      <c r="G206" s="39"/>
      <c r="H206" s="35">
        <f t="shared" si="64"/>
        <v>0</v>
      </c>
      <c r="I206" s="47">
        <f t="shared" si="65"/>
        <v>0</v>
      </c>
    </row>
    <row r="207" spans="1:18" x14ac:dyDescent="0.3">
      <c r="A207" s="300"/>
      <c r="B207" s="300"/>
      <c r="C207" s="79" t="s">
        <v>149</v>
      </c>
      <c r="D207" s="114"/>
      <c r="E207" s="58"/>
      <c r="F207" s="39"/>
      <c r="G207" s="39"/>
      <c r="H207" s="35">
        <f t="shared" si="64"/>
        <v>0</v>
      </c>
      <c r="I207" s="47">
        <f t="shared" si="65"/>
        <v>0</v>
      </c>
    </row>
    <row r="208" spans="1:18" x14ac:dyDescent="0.3">
      <c r="A208" s="300"/>
      <c r="B208" s="300"/>
      <c r="C208" s="79" t="s">
        <v>150</v>
      </c>
      <c r="D208" s="114"/>
      <c r="E208" s="58"/>
      <c r="F208" s="39"/>
      <c r="G208" s="39"/>
      <c r="H208" s="35">
        <f t="shared" si="64"/>
        <v>0</v>
      </c>
      <c r="I208" s="47">
        <f t="shared" si="65"/>
        <v>0</v>
      </c>
    </row>
    <row r="209" spans="1:18" x14ac:dyDescent="0.3">
      <c r="A209" s="300"/>
      <c r="B209" s="300"/>
      <c r="C209" s="79" t="s">
        <v>151</v>
      </c>
      <c r="D209" s="114"/>
      <c r="E209" s="58"/>
      <c r="F209" s="39"/>
      <c r="G209" s="39"/>
      <c r="H209" s="35">
        <f t="shared" si="64"/>
        <v>0</v>
      </c>
      <c r="I209" s="47">
        <f t="shared" si="65"/>
        <v>0</v>
      </c>
    </row>
    <row r="210" spans="1:18" x14ac:dyDescent="0.3">
      <c r="A210" s="300"/>
      <c r="B210" s="300"/>
      <c r="C210" s="79" t="s">
        <v>152</v>
      </c>
      <c r="D210" s="114"/>
      <c r="E210" s="58"/>
      <c r="F210" s="39"/>
      <c r="G210" s="39"/>
      <c r="H210" s="35">
        <f t="shared" si="64"/>
        <v>0</v>
      </c>
      <c r="I210" s="47">
        <f t="shared" si="65"/>
        <v>0</v>
      </c>
    </row>
    <row r="211" spans="1:18" x14ac:dyDescent="0.3">
      <c r="A211" s="300"/>
      <c r="B211" s="300"/>
      <c r="C211" s="79" t="s">
        <v>153</v>
      </c>
      <c r="D211" s="114"/>
      <c r="E211" s="58"/>
      <c r="F211" s="39"/>
      <c r="G211" s="39"/>
      <c r="H211" s="35">
        <f t="shared" si="64"/>
        <v>0</v>
      </c>
      <c r="I211" s="47">
        <f t="shared" si="65"/>
        <v>0</v>
      </c>
    </row>
    <row r="212" spans="1:18" x14ac:dyDescent="0.3">
      <c r="A212" s="300"/>
      <c r="B212" s="300"/>
      <c r="C212" s="77" t="s">
        <v>74</v>
      </c>
      <c r="D212" s="300" t="s">
        <v>75</v>
      </c>
      <c r="E212" s="296"/>
      <c r="F212" s="39"/>
      <c r="G212" s="39"/>
      <c r="H212" s="35" t="s">
        <v>76</v>
      </c>
      <c r="I212" s="35" t="s">
        <v>76</v>
      </c>
    </row>
    <row r="213" spans="1:18" x14ac:dyDescent="0.3">
      <c r="A213" s="300"/>
      <c r="B213" s="300"/>
      <c r="C213" s="77" t="s">
        <v>77</v>
      </c>
      <c r="D213" s="300"/>
      <c r="E213" s="296"/>
      <c r="F213" s="39"/>
      <c r="G213" s="39"/>
      <c r="H213" s="35" t="s">
        <v>76</v>
      </c>
      <c r="I213" s="35" t="s">
        <v>76</v>
      </c>
    </row>
    <row r="214" spans="1:18" x14ac:dyDescent="0.3">
      <c r="A214" s="300"/>
      <c r="B214" s="300"/>
      <c r="C214" s="77" t="s">
        <v>78</v>
      </c>
      <c r="D214" s="300"/>
      <c r="E214" s="296"/>
      <c r="F214" s="35">
        <f>+F212+F213</f>
        <v>0</v>
      </c>
      <c r="G214" s="35">
        <f t="shared" ref="G214" si="66">+G212+G213</f>
        <v>0</v>
      </c>
      <c r="H214" s="35">
        <f>+G214-F214</f>
        <v>0</v>
      </c>
      <c r="I214" s="47">
        <f>+ROUND(IF(H214&gt;0,H214*E212,0),4)</f>
        <v>0</v>
      </c>
    </row>
    <row r="215" spans="1:18" x14ac:dyDescent="0.3">
      <c r="A215" s="300"/>
      <c r="B215" s="300"/>
      <c r="C215" s="77" t="s">
        <v>138</v>
      </c>
      <c r="D215" s="300" t="s">
        <v>75</v>
      </c>
      <c r="E215" s="296"/>
      <c r="F215" s="39"/>
      <c r="G215" s="39"/>
      <c r="H215" s="35" t="s">
        <v>76</v>
      </c>
      <c r="I215" s="35" t="s">
        <v>76</v>
      </c>
    </row>
    <row r="216" spans="1:18" x14ac:dyDescent="0.3">
      <c r="A216" s="300"/>
      <c r="B216" s="300"/>
      <c r="C216" s="77" t="s">
        <v>77</v>
      </c>
      <c r="D216" s="300"/>
      <c r="E216" s="296"/>
      <c r="F216" s="39"/>
      <c r="G216" s="39"/>
      <c r="H216" s="35" t="s">
        <v>76</v>
      </c>
      <c r="I216" s="35" t="s">
        <v>76</v>
      </c>
    </row>
    <row r="217" spans="1:18" x14ac:dyDescent="0.3">
      <c r="A217" s="300"/>
      <c r="B217" s="300"/>
      <c r="C217" s="79" t="s">
        <v>139</v>
      </c>
      <c r="D217" s="300"/>
      <c r="E217" s="296"/>
      <c r="F217" s="35">
        <f>+F215+F216</f>
        <v>0</v>
      </c>
      <c r="G217" s="35">
        <f t="shared" ref="G217" si="67">+G215+G216</f>
        <v>0</v>
      </c>
      <c r="H217" s="35">
        <f>+G217-F217</f>
        <v>0</v>
      </c>
      <c r="I217" s="47">
        <f>+ROUND(IF(H217&gt;0,H217*E215,0),4)</f>
        <v>0</v>
      </c>
    </row>
    <row r="218" spans="1:18" x14ac:dyDescent="0.3">
      <c r="A218" s="300"/>
      <c r="B218" s="300"/>
      <c r="C218" s="77" t="s">
        <v>140</v>
      </c>
      <c r="D218" s="300" t="s">
        <v>75</v>
      </c>
      <c r="E218" s="296"/>
      <c r="F218" s="39"/>
      <c r="G218" s="39"/>
      <c r="H218" s="35" t="s">
        <v>76</v>
      </c>
      <c r="I218" s="35" t="s">
        <v>76</v>
      </c>
    </row>
    <row r="219" spans="1:18" x14ac:dyDescent="0.3">
      <c r="A219" s="300"/>
      <c r="B219" s="300"/>
      <c r="C219" s="77" t="s">
        <v>77</v>
      </c>
      <c r="D219" s="300"/>
      <c r="E219" s="296"/>
      <c r="F219" s="39"/>
      <c r="G219" s="39"/>
      <c r="H219" s="35" t="s">
        <v>76</v>
      </c>
      <c r="I219" s="35" t="s">
        <v>76</v>
      </c>
    </row>
    <row r="220" spans="1:18" x14ac:dyDescent="0.3">
      <c r="A220" s="300"/>
      <c r="B220" s="300"/>
      <c r="C220" s="79" t="s">
        <v>141</v>
      </c>
      <c r="D220" s="300"/>
      <c r="E220" s="296"/>
      <c r="F220" s="35">
        <f>+F218+F219</f>
        <v>0</v>
      </c>
      <c r="G220" s="35">
        <f t="shared" ref="G220" si="68">+G218+G219</f>
        <v>0</v>
      </c>
      <c r="H220" s="35">
        <f>+G220-F220</f>
        <v>0</v>
      </c>
      <c r="I220" s="47">
        <f>+ROUND(IF(H220&gt;0,H220*E218,0),4)</f>
        <v>0</v>
      </c>
      <c r="N220" s="75" t="s">
        <v>98</v>
      </c>
      <c r="O220" s="75" t="s">
        <v>154</v>
      </c>
      <c r="P220" s="75" t="s">
        <v>100</v>
      </c>
      <c r="Q220" s="75" t="s">
        <v>101</v>
      </c>
      <c r="R220" s="75" t="s">
        <v>102</v>
      </c>
    </row>
    <row r="221" spans="1:18" x14ac:dyDescent="0.3">
      <c r="A221" s="314" t="s">
        <v>146</v>
      </c>
      <c r="B221" s="315" t="s">
        <v>103</v>
      </c>
      <c r="C221" s="103" t="s">
        <v>73</v>
      </c>
      <c r="D221" s="110" t="s">
        <v>76</v>
      </c>
      <c r="E221" s="49" t="s">
        <v>76</v>
      </c>
      <c r="F221" s="49" t="s">
        <v>76</v>
      </c>
      <c r="G221" s="49" t="s">
        <v>76</v>
      </c>
      <c r="H221" s="49" t="s">
        <v>76</v>
      </c>
      <c r="I221" s="90">
        <f>N221</f>
        <v>0</v>
      </c>
      <c r="N221" s="136">
        <f>ROUND(+SUM(I203:I211),6)</f>
        <v>0</v>
      </c>
      <c r="O221" s="136">
        <f>ROUND(+E212+E215+E218,3)</f>
        <v>0</v>
      </c>
      <c r="P221" s="75">
        <f>Q221*O221</f>
        <v>0</v>
      </c>
      <c r="Q221" s="75">
        <f>IFERROR(ROUND((N221+N222)/O221,6),0)</f>
        <v>0</v>
      </c>
      <c r="R221" s="75">
        <f>ROUND(Q221*O221*1.2,2)</f>
        <v>0</v>
      </c>
    </row>
    <row r="222" spans="1:18" ht="15" thickBot="1" x14ac:dyDescent="0.35">
      <c r="A222" s="314"/>
      <c r="B222" s="315"/>
      <c r="C222" s="104" t="s">
        <v>78</v>
      </c>
      <c r="D222" s="85" t="s">
        <v>75</v>
      </c>
      <c r="E222" s="145">
        <f>O221</f>
        <v>0</v>
      </c>
      <c r="F222" s="89" t="s">
        <v>76</v>
      </c>
      <c r="G222" s="89" t="s">
        <v>76</v>
      </c>
      <c r="H222" s="89" t="s">
        <v>76</v>
      </c>
      <c r="I222" s="91">
        <f>N222</f>
        <v>0</v>
      </c>
      <c r="N222" s="136">
        <f>ROUND(+I214+I217+I220,6)</f>
        <v>0</v>
      </c>
    </row>
    <row r="223" spans="1:18" ht="15" thickBot="1" x14ac:dyDescent="0.35">
      <c r="A223" s="74"/>
      <c r="B223" s="99"/>
      <c r="C223" s="81" t="s">
        <v>155</v>
      </c>
      <c r="D223" s="86"/>
      <c r="E223" s="52" t="s">
        <v>76</v>
      </c>
      <c r="F223" s="52" t="s">
        <v>76</v>
      </c>
      <c r="G223" s="52" t="s">
        <v>76</v>
      </c>
      <c r="H223" s="52" t="s">
        <v>76</v>
      </c>
      <c r="I223" s="53">
        <f>H228*H229</f>
        <v>0</v>
      </c>
      <c r="N223" s="136">
        <f>(SUM(I77:I78,I169:I170,I201:I202,I221:I222))</f>
        <v>0</v>
      </c>
    </row>
    <row r="224" spans="1:18" ht="15" thickBot="1" x14ac:dyDescent="0.35">
      <c r="A224" s="74"/>
      <c r="B224" s="99"/>
      <c r="C224" s="82" t="s">
        <v>156</v>
      </c>
      <c r="D224" s="87"/>
      <c r="E224" s="50" t="s">
        <v>76</v>
      </c>
      <c r="F224" s="50" t="s">
        <v>76</v>
      </c>
      <c r="G224" s="50" t="s">
        <v>76</v>
      </c>
      <c r="H224" s="50" t="s">
        <v>76</v>
      </c>
      <c r="I224" s="51">
        <f>N224</f>
        <v>0</v>
      </c>
      <c r="N224" s="137">
        <f>I225-I223</f>
        <v>0</v>
      </c>
      <c r="O224" s="75" t="s">
        <v>157</v>
      </c>
      <c r="P224" s="75" t="s">
        <v>158</v>
      </c>
    </row>
    <row r="225" spans="1:16" ht="16.2" thickBot="1" x14ac:dyDescent="0.35">
      <c r="A225" s="74"/>
      <c r="B225" s="99"/>
      <c r="C225" s="83" t="s">
        <v>159</v>
      </c>
      <c r="D225" s="88"/>
      <c r="E225" s="56" t="s">
        <v>76</v>
      </c>
      <c r="F225" s="56" t="s">
        <v>76</v>
      </c>
      <c r="G225" s="56" t="s">
        <v>76</v>
      </c>
      <c r="H225" s="56" t="s">
        <v>76</v>
      </c>
      <c r="I225" s="57">
        <f>N225</f>
        <v>0</v>
      </c>
      <c r="N225" s="75">
        <f>+ROUND(I223*1.2,2)</f>
        <v>0</v>
      </c>
      <c r="O225" s="75">
        <f>R221+R201+R169+R77</f>
        <v>0</v>
      </c>
      <c r="P225" s="149">
        <f>O225-I225</f>
        <v>0</v>
      </c>
    </row>
    <row r="226" spans="1:16" ht="18.600000000000001" thickBot="1" x14ac:dyDescent="0.35">
      <c r="A226" s="75"/>
      <c r="B226" s="107"/>
      <c r="C226" s="108"/>
      <c r="D226" s="100"/>
      <c r="E226" s="75"/>
      <c r="F226" s="75"/>
      <c r="G226" s="75"/>
      <c r="H226" s="75"/>
      <c r="I226" s="75"/>
      <c r="J226" s="76"/>
      <c r="K226" s="76"/>
      <c r="L226" s="147">
        <f>P221+P201+P169+P77</f>
        <v>0</v>
      </c>
    </row>
    <row r="227" spans="1:16" s="76" customFormat="1" ht="34.5" customHeight="1" x14ac:dyDescent="0.3">
      <c r="B227" s="129"/>
      <c r="C227" s="123"/>
      <c r="D227" s="297" t="s">
        <v>160</v>
      </c>
      <c r="E227" s="297"/>
      <c r="F227" s="297"/>
      <c r="G227" s="298"/>
      <c r="H227" s="94">
        <f>ROUND((N229*O228*(-1)),2)</f>
        <v>0</v>
      </c>
      <c r="I227" s="95" t="s">
        <v>65</v>
      </c>
      <c r="J227" s="124"/>
      <c r="L227" s="148" t="e">
        <f>168579.2/H228</f>
        <v>#DIV/0!</v>
      </c>
      <c r="O227" s="76" t="s">
        <v>161</v>
      </c>
    </row>
    <row r="228" spans="1:16" s="76" customFormat="1" ht="38.25" customHeight="1" x14ac:dyDescent="0.3">
      <c r="B228" s="129"/>
      <c r="C228" s="123"/>
      <c r="D228" s="301" t="s">
        <v>326</v>
      </c>
      <c r="E228" s="301"/>
      <c r="F228" s="301"/>
      <c r="G228" s="302"/>
      <c r="H228" s="143">
        <f>N228</f>
        <v>0</v>
      </c>
      <c r="I228" s="96" t="s">
        <v>162</v>
      </c>
      <c r="N228" s="146">
        <f>ROUND((O221+O201+O169+O77),3)</f>
        <v>0</v>
      </c>
      <c r="O228" s="148">
        <f>O221+O201+O169+O77</f>
        <v>0</v>
      </c>
    </row>
    <row r="229" spans="1:16" s="76" customFormat="1" ht="45.75" customHeight="1" thickBot="1" x14ac:dyDescent="0.35">
      <c r="B229" s="129"/>
      <c r="C229" s="123"/>
      <c r="D229" s="301" t="s">
        <v>163</v>
      </c>
      <c r="E229" s="301"/>
      <c r="F229" s="301"/>
      <c r="G229" s="302"/>
      <c r="H229" s="97">
        <f>N229</f>
        <v>0</v>
      </c>
      <c r="I229" s="98" t="s">
        <v>164</v>
      </c>
      <c r="J229" s="75"/>
      <c r="K229" s="138"/>
      <c r="N229" s="148">
        <f>IFERROR(ROUND(L226/O228,6),0)</f>
        <v>0</v>
      </c>
    </row>
    <row r="230" spans="1:16" x14ac:dyDescent="0.3">
      <c r="A230" s="75"/>
      <c r="B230" s="107"/>
      <c r="C230" s="108"/>
      <c r="D230" s="100"/>
      <c r="E230" s="75"/>
      <c r="F230" s="75"/>
      <c r="G230" s="75"/>
      <c r="H230" s="75"/>
      <c r="I230" s="75"/>
    </row>
    <row r="231" spans="1:16" x14ac:dyDescent="0.3">
      <c r="A231" s="106" t="s">
        <v>165</v>
      </c>
      <c r="B231" s="107"/>
      <c r="C231" s="108"/>
      <c r="D231" s="100"/>
      <c r="E231" s="75"/>
      <c r="F231" s="75"/>
      <c r="G231" s="75"/>
      <c r="H231" s="75"/>
      <c r="I231" s="75"/>
    </row>
    <row r="232" spans="1:16" x14ac:dyDescent="0.3">
      <c r="A232" s="309" t="s">
        <v>166</v>
      </c>
      <c r="B232" s="309"/>
      <c r="C232" s="309"/>
      <c r="D232" s="309"/>
      <c r="E232" s="309"/>
      <c r="F232" s="309"/>
      <c r="G232" s="309"/>
      <c r="H232" s="309"/>
      <c r="I232" s="309"/>
    </row>
    <row r="233" spans="1:16" x14ac:dyDescent="0.3">
      <c r="A233" s="309" t="s">
        <v>167</v>
      </c>
      <c r="B233" s="309"/>
      <c r="C233" s="309"/>
      <c r="D233" s="309"/>
      <c r="E233" s="309"/>
      <c r="F233" s="309"/>
      <c r="G233" s="309"/>
      <c r="H233" s="309"/>
      <c r="I233" s="309"/>
    </row>
    <row r="234" spans="1:16" ht="15" customHeight="1" x14ac:dyDescent="0.3">
      <c r="A234" s="310" t="s">
        <v>376</v>
      </c>
      <c r="B234" s="310"/>
      <c r="C234" s="310"/>
      <c r="D234" s="310"/>
      <c r="E234" s="310"/>
      <c r="F234" s="310"/>
      <c r="G234" s="310"/>
      <c r="H234" s="310"/>
      <c r="I234" s="310"/>
    </row>
    <row r="235" spans="1:16" x14ac:dyDescent="0.3">
      <c r="A235" s="309" t="s">
        <v>168</v>
      </c>
      <c r="B235" s="309"/>
      <c r="C235" s="309"/>
      <c r="D235" s="309"/>
      <c r="E235" s="309"/>
      <c r="F235" s="309"/>
      <c r="G235" s="309"/>
      <c r="H235" s="309"/>
      <c r="I235" s="309"/>
    </row>
    <row r="236" spans="1:16" x14ac:dyDescent="0.3">
      <c r="A236" s="309" t="s">
        <v>169</v>
      </c>
      <c r="B236" s="309"/>
      <c r="C236" s="309"/>
      <c r="D236" s="309"/>
      <c r="E236" s="309"/>
      <c r="F236" s="309"/>
      <c r="G236" s="309"/>
      <c r="H236" s="309"/>
      <c r="I236" s="309"/>
    </row>
    <row r="237" spans="1:16" x14ac:dyDescent="0.3">
      <c r="A237" s="309" t="s">
        <v>170</v>
      </c>
      <c r="B237" s="309"/>
      <c r="C237" s="309"/>
      <c r="D237" s="309"/>
      <c r="E237" s="309"/>
      <c r="F237" s="309"/>
      <c r="G237" s="309"/>
      <c r="H237" s="309"/>
      <c r="I237" s="309"/>
    </row>
    <row r="238" spans="1:16" x14ac:dyDescent="0.3">
      <c r="A238" s="309" t="s">
        <v>171</v>
      </c>
      <c r="B238" s="309"/>
      <c r="C238" s="309"/>
      <c r="D238" s="309"/>
      <c r="E238" s="309"/>
      <c r="F238" s="309"/>
      <c r="G238" s="309"/>
      <c r="H238" s="309"/>
      <c r="I238" s="309"/>
    </row>
    <row r="239" spans="1:16" x14ac:dyDescent="0.3">
      <c r="A239" s="106" t="s">
        <v>172</v>
      </c>
      <c r="B239" s="100"/>
      <c r="C239" s="75"/>
      <c r="D239" s="100"/>
      <c r="E239" s="75"/>
      <c r="F239" s="75"/>
      <c r="G239" s="75"/>
      <c r="H239" s="75"/>
      <c r="I239" s="75"/>
    </row>
    <row r="240" spans="1:16" x14ac:dyDescent="0.3">
      <c r="A240" s="106" t="s">
        <v>377</v>
      </c>
      <c r="B240" s="100"/>
      <c r="C240" s="75"/>
      <c r="D240" s="100"/>
      <c r="E240" s="75"/>
      <c r="F240" s="75"/>
      <c r="G240" s="75"/>
      <c r="H240" s="75"/>
      <c r="I240" s="75"/>
    </row>
    <row r="241" spans="2:4" s="75" customFormat="1" x14ac:dyDescent="0.3">
      <c r="B241" s="100"/>
      <c r="D241" s="100"/>
    </row>
  </sheetData>
  <sheetProtection algorithmName="SHA-512" hashValue="3gINAVSEZFLWAOeBatMw6vGxu9s9bv/efxADNU0Ts4PKU6NnpXVI7LTGSNMsyC/W5PzK4Y2+zY70uCESF8suKQ==" saltValue="YKueG2TuNaAWu6ccRy+Q/Q==" spinCount="100000" sheet="1" selectLockedCells="1"/>
  <mergeCells count="179">
    <mergeCell ref="A118:A125"/>
    <mergeCell ref="B118:B125"/>
    <mergeCell ref="D51:D53"/>
    <mergeCell ref="E51:E53"/>
    <mergeCell ref="D149:D151"/>
    <mergeCell ref="E149:E151"/>
    <mergeCell ref="D152:D154"/>
    <mergeCell ref="E152:E154"/>
    <mergeCell ref="B136:B140"/>
    <mergeCell ref="A57:A63"/>
    <mergeCell ref="B57:B63"/>
    <mergeCell ref="D58:D60"/>
    <mergeCell ref="E58:E60"/>
    <mergeCell ref="D61:D63"/>
    <mergeCell ref="E61:E63"/>
    <mergeCell ref="E74:E76"/>
    <mergeCell ref="A126:A133"/>
    <mergeCell ref="B126:B133"/>
    <mergeCell ref="D128:D130"/>
    <mergeCell ref="E128:E130"/>
    <mergeCell ref="D131:D133"/>
    <mergeCell ref="E131:E133"/>
    <mergeCell ref="D65:D67"/>
    <mergeCell ref="E65:E67"/>
    <mergeCell ref="D68:D70"/>
    <mergeCell ref="E68:E70"/>
    <mergeCell ref="A1:I1"/>
    <mergeCell ref="A2:A4"/>
    <mergeCell ref="B2:B4"/>
    <mergeCell ref="C2:C4"/>
    <mergeCell ref="D2:D4"/>
    <mergeCell ref="A5:A8"/>
    <mergeCell ref="B5:B8"/>
    <mergeCell ref="D6:D8"/>
    <mergeCell ref="E6:E8"/>
    <mergeCell ref="A203:A220"/>
    <mergeCell ref="B203:B220"/>
    <mergeCell ref="D212:D214"/>
    <mergeCell ref="E212:E214"/>
    <mergeCell ref="D215:D217"/>
    <mergeCell ref="E215:E217"/>
    <mergeCell ref="D218:D220"/>
    <mergeCell ref="E218:E220"/>
    <mergeCell ref="E30:E32"/>
    <mergeCell ref="D33:D35"/>
    <mergeCell ref="E33:E35"/>
    <mergeCell ref="A102:A109"/>
    <mergeCell ref="B102:B109"/>
    <mergeCell ref="D104:D106"/>
    <mergeCell ref="E104:E106"/>
    <mergeCell ref="D107:D109"/>
    <mergeCell ref="E107:E109"/>
    <mergeCell ref="D120:D122"/>
    <mergeCell ref="A29:A35"/>
    <mergeCell ref="B29:B35"/>
    <mergeCell ref="D30:D32"/>
    <mergeCell ref="D37:D39"/>
    <mergeCell ref="E37:E39"/>
    <mergeCell ref="D40:D42"/>
    <mergeCell ref="A134:A135"/>
    <mergeCell ref="A136:A140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E40:E42"/>
    <mergeCell ref="A21:A28"/>
    <mergeCell ref="B21:B28"/>
    <mergeCell ref="D23:D25"/>
    <mergeCell ref="E23:E25"/>
    <mergeCell ref="D26:D28"/>
    <mergeCell ref="E26:E28"/>
    <mergeCell ref="A50:A56"/>
    <mergeCell ref="B50:B56"/>
    <mergeCell ref="D71:D73"/>
    <mergeCell ref="E71:E73"/>
    <mergeCell ref="D74:D76"/>
    <mergeCell ref="A169:A170"/>
    <mergeCell ref="E120:E122"/>
    <mergeCell ref="D54:D56"/>
    <mergeCell ref="E54:E56"/>
    <mergeCell ref="D96:D98"/>
    <mergeCell ref="E96:E98"/>
    <mergeCell ref="A190:A193"/>
    <mergeCell ref="B190:B193"/>
    <mergeCell ref="D191:D193"/>
    <mergeCell ref="E191:E193"/>
    <mergeCell ref="B169:B170"/>
    <mergeCell ref="D99:D101"/>
    <mergeCell ref="E99:E101"/>
    <mergeCell ref="A94:A101"/>
    <mergeCell ref="B94:B101"/>
    <mergeCell ref="D123:D125"/>
    <mergeCell ref="E123:E125"/>
    <mergeCell ref="A110:A117"/>
    <mergeCell ref="B110:B117"/>
    <mergeCell ref="D112:D114"/>
    <mergeCell ref="E112:E114"/>
    <mergeCell ref="D115:D117"/>
    <mergeCell ref="D166:D168"/>
    <mergeCell ref="E166:E168"/>
    <mergeCell ref="A77:A78"/>
    <mergeCell ref="B77:B78"/>
    <mergeCell ref="A147:A154"/>
    <mergeCell ref="B147:B154"/>
    <mergeCell ref="E115:E117"/>
    <mergeCell ref="B134:B135"/>
    <mergeCell ref="A221:A222"/>
    <mergeCell ref="B221:B222"/>
    <mergeCell ref="D198:D200"/>
    <mergeCell ref="E198:E20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A198:A200"/>
    <mergeCell ref="B198:B200"/>
    <mergeCell ref="D138:D140"/>
    <mergeCell ref="E138:E140"/>
    <mergeCell ref="D144:D146"/>
    <mergeCell ref="E144:E146"/>
    <mergeCell ref="E160:E162"/>
    <mergeCell ref="D163:D165"/>
    <mergeCell ref="A201:A202"/>
    <mergeCell ref="B201:B202"/>
    <mergeCell ref="A36:A42"/>
    <mergeCell ref="B36:B42"/>
    <mergeCell ref="A79:A83"/>
    <mergeCell ref="B79:B83"/>
    <mergeCell ref="D81:D83"/>
    <mergeCell ref="E81:E83"/>
    <mergeCell ref="A89:A93"/>
    <mergeCell ref="B89:B93"/>
    <mergeCell ref="D91:D93"/>
    <mergeCell ref="E91:E93"/>
    <mergeCell ref="A84:A88"/>
    <mergeCell ref="B84:B88"/>
    <mergeCell ref="D86:D88"/>
    <mergeCell ref="E86:E88"/>
    <mergeCell ref="A43:A49"/>
    <mergeCell ref="B43:B49"/>
    <mergeCell ref="D44:D46"/>
    <mergeCell ref="E44:E46"/>
    <mergeCell ref="D47:D49"/>
    <mergeCell ref="E47:E49"/>
    <mergeCell ref="E163:E165"/>
    <mergeCell ref="D227:G227"/>
    <mergeCell ref="A64:A76"/>
    <mergeCell ref="B64:B76"/>
    <mergeCell ref="D228:G228"/>
    <mergeCell ref="D229:G229"/>
    <mergeCell ref="A141:A146"/>
    <mergeCell ref="B141:B146"/>
    <mergeCell ref="A238:I238"/>
    <mergeCell ref="A232:I232"/>
    <mergeCell ref="A233:I233"/>
    <mergeCell ref="A234:I234"/>
    <mergeCell ref="A235:I235"/>
    <mergeCell ref="A236:I236"/>
    <mergeCell ref="A237:I237"/>
    <mergeCell ref="A194:A197"/>
    <mergeCell ref="B194:B197"/>
    <mergeCell ref="D195:D197"/>
    <mergeCell ref="E195:E197"/>
    <mergeCell ref="A155:A168"/>
    <mergeCell ref="B155:B168"/>
    <mergeCell ref="D157:D159"/>
    <mergeCell ref="E157:E159"/>
    <mergeCell ref="D160:D162"/>
  </mergeCells>
  <dataValidations count="3">
    <dataValidation type="textLength" allowBlank="1" showInputMessage="1" showErrorMessage="1" sqref="J2" xr:uid="{00000000-0002-0000-0100-000000000000}">
      <formula1>16</formula1>
      <formula2>16</formula2>
    </dataValidation>
    <dataValidation allowBlank="1" showInputMessage="1" showErrorMessage="1" promptTitle="URSO 22 " prompt="Zadajte prosím link na rozhodnutie URSO  na základe ktorého žiadate o kompenzáciu" sqref="K2" xr:uid="{00000000-0002-0000-0100-000001000000}"/>
    <dataValidation allowBlank="1" showInputMessage="1" showErrorMessage="1" promptTitle="URSO 24" prompt="Zadajte prosím link na rozhodnutie URSO  na základe ktorého žiadate o kompenzáciu" sqref="K3" xr:uid="{00000000-0002-0000-0100-000002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>
    <oddHeader>&amp;L&amp;"Calibri"&amp;12&amp;K000000         INTERNÉ&amp;1#_x000D_</oddHeader>
    <oddFooter>&amp;C&amp;P z &amp;N</oddFooter>
  </headerFooter>
  <rowBreaks count="5" manualBreakCount="5">
    <brk id="42" max="16383" man="1"/>
    <brk id="88" max="16383" man="1"/>
    <brk id="135" max="16383" man="1"/>
    <brk id="170" max="16383" man="1"/>
    <brk id="2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9"/>
  <sheetViews>
    <sheetView showGridLines="0" zoomScale="75" zoomScaleNormal="75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A4"/>
    </sheetView>
  </sheetViews>
  <sheetFormatPr defaultColWidth="8.88671875" defaultRowHeight="14.4" x14ac:dyDescent="0.3"/>
  <cols>
    <col min="1" max="1" width="38.33203125" style="40" customWidth="1"/>
    <col min="2" max="2" width="9.109375" style="42" customWidth="1"/>
    <col min="3" max="3" width="53.88671875" style="40" customWidth="1"/>
    <col min="4" max="4" width="5.6640625" style="42" customWidth="1"/>
    <col min="5" max="5" width="28.5546875" style="40" customWidth="1"/>
    <col min="6" max="7" width="21.44140625" style="40" customWidth="1"/>
    <col min="8" max="8" width="34.6640625" style="40" customWidth="1"/>
    <col min="9" max="9" width="21.44140625" style="40" customWidth="1"/>
    <col min="10" max="10" width="33" style="40" bestFit="1" customWidth="1"/>
    <col min="11" max="11" width="60.109375" style="40" customWidth="1"/>
    <col min="12" max="12" width="8.88671875" style="40" hidden="1" customWidth="1"/>
    <col min="13" max="13" width="16.33203125" style="40" hidden="1" customWidth="1"/>
    <col min="14" max="14" width="16.109375" style="40" hidden="1" customWidth="1"/>
    <col min="15" max="17" width="18.44140625" style="40" hidden="1" customWidth="1"/>
    <col min="18" max="19" width="16.33203125" style="40" hidden="1" customWidth="1"/>
    <col min="20" max="21" width="8.88671875" style="40" customWidth="1"/>
    <col min="22" max="16384" width="8.88671875" style="40"/>
  </cols>
  <sheetData>
    <row r="1" spans="1:11" ht="55.5" customHeight="1" thickBot="1" x14ac:dyDescent="0.35">
      <c r="A1" s="322" t="s">
        <v>369</v>
      </c>
      <c r="B1" s="322"/>
      <c r="C1" s="322"/>
      <c r="D1" s="322"/>
      <c r="E1" s="322"/>
      <c r="F1" s="322"/>
      <c r="G1" s="322"/>
      <c r="H1" s="322"/>
      <c r="I1" s="322"/>
      <c r="J1" s="92" t="s">
        <v>57</v>
      </c>
      <c r="K1" s="92" t="s">
        <v>58</v>
      </c>
    </row>
    <row r="2" spans="1:11" ht="36" x14ac:dyDescent="0.3">
      <c r="A2" s="318" t="s">
        <v>380</v>
      </c>
      <c r="B2" s="300" t="s">
        <v>59</v>
      </c>
      <c r="C2" s="300" t="s">
        <v>60</v>
      </c>
      <c r="D2" s="300" t="s">
        <v>61</v>
      </c>
      <c r="E2" s="33" t="s">
        <v>62</v>
      </c>
      <c r="F2" s="38" t="s">
        <v>289</v>
      </c>
      <c r="G2" s="38" t="s">
        <v>287</v>
      </c>
      <c r="H2" s="33" t="s">
        <v>375</v>
      </c>
      <c r="I2" s="33" t="s">
        <v>374</v>
      </c>
      <c r="J2" s="127"/>
      <c r="K2" s="126"/>
    </row>
    <row r="3" spans="1:11" ht="37.5" customHeight="1" x14ac:dyDescent="0.3">
      <c r="A3" s="318"/>
      <c r="B3" s="300"/>
      <c r="C3" s="300"/>
      <c r="D3" s="300"/>
      <c r="E3" s="37" t="s">
        <v>63</v>
      </c>
      <c r="F3" s="34" t="s">
        <v>64</v>
      </c>
      <c r="G3" s="34" t="s">
        <v>64</v>
      </c>
      <c r="H3" s="34" t="s">
        <v>64</v>
      </c>
      <c r="I3" s="46" t="s">
        <v>65</v>
      </c>
      <c r="J3" s="93"/>
      <c r="K3" s="126"/>
    </row>
    <row r="4" spans="1:11" ht="12.75" customHeight="1" x14ac:dyDescent="0.3">
      <c r="A4" s="318"/>
      <c r="B4" s="300"/>
      <c r="C4" s="300"/>
      <c r="D4" s="300"/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</row>
    <row r="5" spans="1:11" ht="15" customHeight="1" x14ac:dyDescent="0.3">
      <c r="A5" s="299" t="s">
        <v>71</v>
      </c>
      <c r="B5" s="300" t="s">
        <v>72</v>
      </c>
      <c r="C5" s="77" t="s">
        <v>73</v>
      </c>
      <c r="D5" s="114"/>
      <c r="E5" s="58"/>
      <c r="F5" s="39"/>
      <c r="G5" s="39"/>
      <c r="H5" s="35">
        <f>+G5-F5</f>
        <v>0</v>
      </c>
      <c r="I5" s="47">
        <f>+ROUND(IF(H5&gt;0,H5*E5,0),4)</f>
        <v>0</v>
      </c>
    </row>
    <row r="6" spans="1:11" ht="15" customHeight="1" x14ac:dyDescent="0.3">
      <c r="A6" s="299"/>
      <c r="B6" s="300"/>
      <c r="C6" s="77" t="s">
        <v>74</v>
      </c>
      <c r="D6" s="300" t="s">
        <v>75</v>
      </c>
      <c r="E6" s="319"/>
      <c r="F6" s="39"/>
      <c r="G6" s="39"/>
      <c r="H6" s="35" t="s">
        <v>76</v>
      </c>
      <c r="I6" s="35" t="s">
        <v>76</v>
      </c>
    </row>
    <row r="7" spans="1:11" ht="15" customHeight="1" x14ac:dyDescent="0.3">
      <c r="A7" s="299"/>
      <c r="B7" s="300"/>
      <c r="C7" s="77" t="s">
        <v>77</v>
      </c>
      <c r="D7" s="300"/>
      <c r="E7" s="320"/>
      <c r="F7" s="39"/>
      <c r="G7" s="39"/>
      <c r="H7" s="35" t="s">
        <v>76</v>
      </c>
      <c r="I7" s="35" t="s">
        <v>76</v>
      </c>
    </row>
    <row r="8" spans="1:11" ht="15" customHeight="1" x14ac:dyDescent="0.3">
      <c r="A8" s="299"/>
      <c r="B8" s="300"/>
      <c r="C8" s="77" t="s">
        <v>78</v>
      </c>
      <c r="D8" s="300"/>
      <c r="E8" s="321"/>
      <c r="F8" s="35">
        <f>+F6+F7</f>
        <v>0</v>
      </c>
      <c r="G8" s="35">
        <f t="shared" ref="G8" si="0">+G6+G7</f>
        <v>0</v>
      </c>
      <c r="H8" s="35">
        <f>+G8-F8</f>
        <v>0</v>
      </c>
      <c r="I8" s="47">
        <f>+ROUND(IF(H8&gt;0,H8*E6,0),4)</f>
        <v>0</v>
      </c>
    </row>
    <row r="9" spans="1:11" ht="15" customHeight="1" x14ac:dyDescent="0.3">
      <c r="A9" s="299" t="s">
        <v>71</v>
      </c>
      <c r="B9" s="300" t="s">
        <v>79</v>
      </c>
      <c r="C9" s="77" t="s">
        <v>73</v>
      </c>
      <c r="D9" s="114"/>
      <c r="E9" s="58"/>
      <c r="F9" s="39"/>
      <c r="G9" s="39"/>
      <c r="H9" s="35">
        <f>+G9-F9</f>
        <v>0</v>
      </c>
      <c r="I9" s="47">
        <f t="shared" ref="I9" si="1">+ROUND(IF(H9&gt;0,H9*E9,0),4)</f>
        <v>0</v>
      </c>
    </row>
    <row r="10" spans="1:11" ht="15" customHeight="1" x14ac:dyDescent="0.3">
      <c r="A10" s="299"/>
      <c r="B10" s="300"/>
      <c r="C10" s="78" t="s">
        <v>80</v>
      </c>
      <c r="D10" s="114"/>
      <c r="E10" s="58"/>
      <c r="F10" s="39"/>
      <c r="G10" s="39"/>
      <c r="H10" s="35">
        <f>+G10-F10</f>
        <v>0</v>
      </c>
      <c r="I10" s="47">
        <f>+ROUND(IF(H10&gt;0,H10*E10,0),4)</f>
        <v>0</v>
      </c>
    </row>
    <row r="11" spans="1:11" ht="15" customHeight="1" x14ac:dyDescent="0.3">
      <c r="A11" s="299"/>
      <c r="B11" s="300"/>
      <c r="C11" s="77" t="s">
        <v>74</v>
      </c>
      <c r="D11" s="300" t="s">
        <v>75</v>
      </c>
      <c r="E11" s="296"/>
      <c r="F11" s="39"/>
      <c r="G11" s="39"/>
      <c r="H11" s="35" t="s">
        <v>76</v>
      </c>
      <c r="I11" s="35" t="s">
        <v>76</v>
      </c>
    </row>
    <row r="12" spans="1:11" ht="15" customHeight="1" x14ac:dyDescent="0.3">
      <c r="A12" s="299"/>
      <c r="B12" s="300"/>
      <c r="C12" s="77" t="s">
        <v>77</v>
      </c>
      <c r="D12" s="300"/>
      <c r="E12" s="296"/>
      <c r="F12" s="39"/>
      <c r="G12" s="39"/>
      <c r="H12" s="35" t="s">
        <v>76</v>
      </c>
      <c r="I12" s="35" t="s">
        <v>76</v>
      </c>
    </row>
    <row r="13" spans="1:11" ht="15" customHeight="1" x14ac:dyDescent="0.3">
      <c r="A13" s="299"/>
      <c r="B13" s="300"/>
      <c r="C13" s="77" t="s">
        <v>78</v>
      </c>
      <c r="D13" s="300"/>
      <c r="E13" s="296"/>
      <c r="F13" s="35">
        <f>+F11+F12</f>
        <v>0</v>
      </c>
      <c r="G13" s="35">
        <f t="shared" ref="G13" si="2">+G11+G12</f>
        <v>0</v>
      </c>
      <c r="H13" s="35">
        <f>+G13-F13</f>
        <v>0</v>
      </c>
      <c r="I13" s="47">
        <f>+ROUND(IF(H13&gt;0,H13*E11,0),4)</f>
        <v>0</v>
      </c>
    </row>
    <row r="14" spans="1:11" ht="15" customHeight="1" x14ac:dyDescent="0.3">
      <c r="A14" s="299" t="s">
        <v>71</v>
      </c>
      <c r="B14" s="300" t="s">
        <v>81</v>
      </c>
      <c r="C14" s="77" t="s">
        <v>73</v>
      </c>
      <c r="D14" s="114"/>
      <c r="E14" s="58"/>
      <c r="F14" s="39"/>
      <c r="G14" s="39"/>
      <c r="H14" s="35">
        <f>+G14-F14</f>
        <v>0</v>
      </c>
      <c r="I14" s="47">
        <f t="shared" ref="I14" si="3">+ROUND(IF(H14&gt;0,H14*E14,0),4)</f>
        <v>0</v>
      </c>
    </row>
    <row r="15" spans="1:11" ht="15" customHeight="1" x14ac:dyDescent="0.3">
      <c r="A15" s="299"/>
      <c r="B15" s="300"/>
      <c r="C15" s="77" t="s">
        <v>82</v>
      </c>
      <c r="D15" s="300" t="s">
        <v>75</v>
      </c>
      <c r="E15" s="296"/>
      <c r="F15" s="39"/>
      <c r="G15" s="39"/>
      <c r="H15" s="35" t="s">
        <v>76</v>
      </c>
      <c r="I15" s="35" t="s">
        <v>76</v>
      </c>
    </row>
    <row r="16" spans="1:11" ht="15" customHeight="1" x14ac:dyDescent="0.3">
      <c r="A16" s="299"/>
      <c r="B16" s="300"/>
      <c r="C16" s="77" t="s">
        <v>77</v>
      </c>
      <c r="D16" s="300"/>
      <c r="E16" s="296"/>
      <c r="F16" s="39"/>
      <c r="G16" s="39"/>
      <c r="H16" s="35" t="s">
        <v>76</v>
      </c>
      <c r="I16" s="35" t="s">
        <v>76</v>
      </c>
    </row>
    <row r="17" spans="1:9" ht="15" customHeight="1" x14ac:dyDescent="0.3">
      <c r="A17" s="299"/>
      <c r="B17" s="300"/>
      <c r="C17" s="77" t="s">
        <v>83</v>
      </c>
      <c r="D17" s="300"/>
      <c r="E17" s="296"/>
      <c r="F17" s="35">
        <f>+F15+F16</f>
        <v>0</v>
      </c>
      <c r="G17" s="35">
        <f t="shared" ref="G17" si="4">+G15+G16</f>
        <v>0</v>
      </c>
      <c r="H17" s="35">
        <f>+G17-F17</f>
        <v>0</v>
      </c>
      <c r="I17" s="47">
        <f>+ROUND(IF(H17&gt;0,H17*E15,0),4)</f>
        <v>0</v>
      </c>
    </row>
    <row r="18" spans="1:9" ht="15" customHeight="1" x14ac:dyDescent="0.3">
      <c r="A18" s="299"/>
      <c r="B18" s="300"/>
      <c r="C18" s="77" t="s">
        <v>84</v>
      </c>
      <c r="D18" s="300" t="s">
        <v>75</v>
      </c>
      <c r="E18" s="296"/>
      <c r="F18" s="39"/>
      <c r="G18" s="39"/>
      <c r="H18" s="35" t="s">
        <v>76</v>
      </c>
      <c r="I18" s="35" t="s">
        <v>76</v>
      </c>
    </row>
    <row r="19" spans="1:9" ht="15" customHeight="1" x14ac:dyDescent="0.3">
      <c r="A19" s="299"/>
      <c r="B19" s="300"/>
      <c r="C19" s="77" t="s">
        <v>77</v>
      </c>
      <c r="D19" s="300"/>
      <c r="E19" s="296"/>
      <c r="F19" s="39"/>
      <c r="G19" s="39"/>
      <c r="H19" s="35" t="s">
        <v>76</v>
      </c>
      <c r="I19" s="35" t="s">
        <v>76</v>
      </c>
    </row>
    <row r="20" spans="1:9" ht="15" customHeight="1" x14ac:dyDescent="0.3">
      <c r="A20" s="299"/>
      <c r="B20" s="300"/>
      <c r="C20" s="77" t="s">
        <v>85</v>
      </c>
      <c r="D20" s="300"/>
      <c r="E20" s="296"/>
      <c r="F20" s="35">
        <f>+F18+F19</f>
        <v>0</v>
      </c>
      <c r="G20" s="35">
        <f t="shared" ref="G20" si="5">+G18+G19</f>
        <v>0</v>
      </c>
      <c r="H20" s="35">
        <f>+G20-F20</f>
        <v>0</v>
      </c>
      <c r="I20" s="47">
        <f>+ROUND(IF(H20&gt;0,H20*E18,0),4)</f>
        <v>0</v>
      </c>
    </row>
    <row r="21" spans="1:9" ht="15" customHeight="1" x14ac:dyDescent="0.3">
      <c r="A21" s="299" t="s">
        <v>71</v>
      </c>
      <c r="B21" s="300" t="s">
        <v>86</v>
      </c>
      <c r="C21" s="77" t="s">
        <v>73</v>
      </c>
      <c r="D21" s="114"/>
      <c r="E21" s="58"/>
      <c r="F21" s="39"/>
      <c r="G21" s="39"/>
      <c r="H21" s="35">
        <f>+G21-F21</f>
        <v>0</v>
      </c>
      <c r="I21" s="47">
        <f t="shared" ref="I21:I22" si="6">+ROUND(IF(H21&gt;0,H21*E21,0),4)</f>
        <v>0</v>
      </c>
    </row>
    <row r="22" spans="1:9" ht="15" customHeight="1" x14ac:dyDescent="0.3">
      <c r="A22" s="299"/>
      <c r="B22" s="300"/>
      <c r="C22" s="77" t="s">
        <v>80</v>
      </c>
      <c r="D22" s="114"/>
      <c r="E22" s="58"/>
      <c r="F22" s="39"/>
      <c r="G22" s="39"/>
      <c r="H22" s="35">
        <f>+G22-F22</f>
        <v>0</v>
      </c>
      <c r="I22" s="47">
        <f t="shared" si="6"/>
        <v>0</v>
      </c>
    </row>
    <row r="23" spans="1:9" ht="15" customHeight="1" x14ac:dyDescent="0.3">
      <c r="A23" s="299"/>
      <c r="B23" s="300"/>
      <c r="C23" s="77" t="s">
        <v>82</v>
      </c>
      <c r="D23" s="300" t="s">
        <v>75</v>
      </c>
      <c r="E23" s="296"/>
      <c r="F23" s="39"/>
      <c r="G23" s="39"/>
      <c r="H23" s="35" t="s">
        <v>76</v>
      </c>
      <c r="I23" s="35" t="s">
        <v>76</v>
      </c>
    </row>
    <row r="24" spans="1:9" ht="15" customHeight="1" x14ac:dyDescent="0.3">
      <c r="A24" s="299"/>
      <c r="B24" s="300"/>
      <c r="C24" s="77" t="s">
        <v>77</v>
      </c>
      <c r="D24" s="300"/>
      <c r="E24" s="296"/>
      <c r="F24" s="39"/>
      <c r="G24" s="39"/>
      <c r="H24" s="35" t="s">
        <v>76</v>
      </c>
      <c r="I24" s="35" t="s">
        <v>76</v>
      </c>
    </row>
    <row r="25" spans="1:9" ht="15" customHeight="1" x14ac:dyDescent="0.3">
      <c r="A25" s="299"/>
      <c r="B25" s="300"/>
      <c r="C25" s="77" t="s">
        <v>83</v>
      </c>
      <c r="D25" s="300"/>
      <c r="E25" s="296"/>
      <c r="F25" s="35">
        <f>+F23+F24</f>
        <v>0</v>
      </c>
      <c r="G25" s="35">
        <f>+G23+G24</f>
        <v>0</v>
      </c>
      <c r="H25" s="35">
        <f>+G25-F25</f>
        <v>0</v>
      </c>
      <c r="I25" s="47">
        <f>+ROUND(IF(H25&gt;0,H25*E23,0),4)</f>
        <v>0</v>
      </c>
    </row>
    <row r="26" spans="1:9" ht="15" customHeight="1" x14ac:dyDescent="0.3">
      <c r="A26" s="299"/>
      <c r="B26" s="300"/>
      <c r="C26" s="77" t="s">
        <v>84</v>
      </c>
      <c r="D26" s="300" t="s">
        <v>75</v>
      </c>
      <c r="E26" s="296"/>
      <c r="F26" s="39"/>
      <c r="G26" s="39"/>
      <c r="H26" s="35" t="s">
        <v>76</v>
      </c>
      <c r="I26" s="35" t="s">
        <v>76</v>
      </c>
    </row>
    <row r="27" spans="1:9" ht="15" customHeight="1" x14ac:dyDescent="0.3">
      <c r="A27" s="299"/>
      <c r="B27" s="300"/>
      <c r="C27" s="77" t="s">
        <v>77</v>
      </c>
      <c r="D27" s="300"/>
      <c r="E27" s="296"/>
      <c r="F27" s="39"/>
      <c r="G27" s="39"/>
      <c r="H27" s="35" t="s">
        <v>76</v>
      </c>
      <c r="I27" s="35" t="s">
        <v>76</v>
      </c>
    </row>
    <row r="28" spans="1:9" ht="15" customHeight="1" x14ac:dyDescent="0.3">
      <c r="A28" s="299"/>
      <c r="B28" s="300"/>
      <c r="C28" s="77" t="s">
        <v>85</v>
      </c>
      <c r="D28" s="300"/>
      <c r="E28" s="296"/>
      <c r="F28" s="35">
        <f>+F26+F27</f>
        <v>0</v>
      </c>
      <c r="G28" s="35">
        <f t="shared" ref="G28" si="7">+G26+G27</f>
        <v>0</v>
      </c>
      <c r="H28" s="35">
        <f>+G28-F28</f>
        <v>0</v>
      </c>
      <c r="I28" s="47">
        <f>+ROUND(IF(H28&gt;0,H28*E26,0),4)</f>
        <v>0</v>
      </c>
    </row>
    <row r="29" spans="1:9" ht="15" customHeight="1" x14ac:dyDescent="0.3">
      <c r="A29" s="299" t="s">
        <v>71</v>
      </c>
      <c r="B29" s="300" t="s">
        <v>87</v>
      </c>
      <c r="C29" s="77" t="s">
        <v>73</v>
      </c>
      <c r="D29" s="114"/>
      <c r="E29" s="58"/>
      <c r="F29" s="39"/>
      <c r="G29" s="39"/>
      <c r="H29" s="35">
        <f>+G29-F29</f>
        <v>0</v>
      </c>
      <c r="I29" s="47">
        <f t="shared" ref="I29" si="8">+ROUND(IF(H29&gt;0,H29*E29,0),4)</f>
        <v>0</v>
      </c>
    </row>
    <row r="30" spans="1:9" ht="15" customHeight="1" x14ac:dyDescent="0.3">
      <c r="A30" s="299"/>
      <c r="B30" s="300"/>
      <c r="C30" s="77" t="s">
        <v>82</v>
      </c>
      <c r="D30" s="300" t="s">
        <v>75</v>
      </c>
      <c r="E30" s="296"/>
      <c r="F30" s="39"/>
      <c r="G30" s="39"/>
      <c r="H30" s="35" t="s">
        <v>76</v>
      </c>
      <c r="I30" s="35" t="s">
        <v>76</v>
      </c>
    </row>
    <row r="31" spans="1:9" ht="15" customHeight="1" x14ac:dyDescent="0.3">
      <c r="A31" s="299"/>
      <c r="B31" s="300"/>
      <c r="C31" s="77" t="s">
        <v>77</v>
      </c>
      <c r="D31" s="300"/>
      <c r="E31" s="296"/>
      <c r="F31" s="39"/>
      <c r="G31" s="39"/>
      <c r="H31" s="35" t="s">
        <v>76</v>
      </c>
      <c r="I31" s="35" t="s">
        <v>76</v>
      </c>
    </row>
    <row r="32" spans="1:9" ht="15" customHeight="1" x14ac:dyDescent="0.3">
      <c r="A32" s="299"/>
      <c r="B32" s="300"/>
      <c r="C32" s="77" t="s">
        <v>83</v>
      </c>
      <c r="D32" s="300"/>
      <c r="E32" s="296"/>
      <c r="F32" s="35">
        <f>+F30+F31</f>
        <v>0</v>
      </c>
      <c r="G32" s="35">
        <f t="shared" ref="G32" si="9">+G30+G31</f>
        <v>0</v>
      </c>
      <c r="H32" s="35">
        <f>+G32-F32</f>
        <v>0</v>
      </c>
      <c r="I32" s="47">
        <f>+ROUND(IF(H32&gt;0,H32*E30,0),4)</f>
        <v>0</v>
      </c>
    </row>
    <row r="33" spans="1:9" ht="15" customHeight="1" x14ac:dyDescent="0.3">
      <c r="A33" s="299"/>
      <c r="B33" s="300"/>
      <c r="C33" s="77" t="s">
        <v>84</v>
      </c>
      <c r="D33" s="300" t="s">
        <v>75</v>
      </c>
      <c r="E33" s="296"/>
      <c r="F33" s="39"/>
      <c r="G33" s="39"/>
      <c r="H33" s="35" t="s">
        <v>76</v>
      </c>
      <c r="I33" s="35" t="s">
        <v>76</v>
      </c>
    </row>
    <row r="34" spans="1:9" ht="15" customHeight="1" x14ac:dyDescent="0.3">
      <c r="A34" s="299"/>
      <c r="B34" s="300"/>
      <c r="C34" s="77" t="s">
        <v>77</v>
      </c>
      <c r="D34" s="300"/>
      <c r="E34" s="296"/>
      <c r="F34" s="39"/>
      <c r="G34" s="39"/>
      <c r="H34" s="35" t="s">
        <v>76</v>
      </c>
      <c r="I34" s="35" t="s">
        <v>76</v>
      </c>
    </row>
    <row r="35" spans="1:9" ht="15" customHeight="1" x14ac:dyDescent="0.3">
      <c r="A35" s="299"/>
      <c r="B35" s="300"/>
      <c r="C35" s="77" t="s">
        <v>85</v>
      </c>
      <c r="D35" s="300"/>
      <c r="E35" s="296"/>
      <c r="F35" s="35">
        <f>+F33+F34</f>
        <v>0</v>
      </c>
      <c r="G35" s="35">
        <f t="shared" ref="G35" si="10">+G33+G34</f>
        <v>0</v>
      </c>
      <c r="H35" s="35">
        <f>+G35-F35</f>
        <v>0</v>
      </c>
      <c r="I35" s="47">
        <f>+ROUND(IF(H35&gt;0,H35*E33,0),4)</f>
        <v>0</v>
      </c>
    </row>
    <row r="36" spans="1:9" ht="15" customHeight="1" x14ac:dyDescent="0.3">
      <c r="A36" s="299" t="s">
        <v>71</v>
      </c>
      <c r="B36" s="300" t="s">
        <v>88</v>
      </c>
      <c r="C36" s="77" t="s">
        <v>73</v>
      </c>
      <c r="D36" s="114"/>
      <c r="E36" s="58"/>
      <c r="F36" s="39"/>
      <c r="G36" s="39"/>
      <c r="H36" s="35">
        <f>+G36-F36</f>
        <v>0</v>
      </c>
      <c r="I36" s="47">
        <f t="shared" ref="I36" si="11">+ROUND(IF(H36&gt;0,H36*E36,0),4)</f>
        <v>0</v>
      </c>
    </row>
    <row r="37" spans="1:9" ht="15" customHeight="1" x14ac:dyDescent="0.3">
      <c r="A37" s="299"/>
      <c r="B37" s="300"/>
      <c r="C37" s="77" t="s">
        <v>82</v>
      </c>
      <c r="D37" s="300" t="s">
        <v>75</v>
      </c>
      <c r="E37" s="296"/>
      <c r="F37" s="39"/>
      <c r="G37" s="39"/>
      <c r="H37" s="35" t="s">
        <v>76</v>
      </c>
      <c r="I37" s="35" t="s">
        <v>76</v>
      </c>
    </row>
    <row r="38" spans="1:9" ht="15" customHeight="1" x14ac:dyDescent="0.3">
      <c r="A38" s="299"/>
      <c r="B38" s="300"/>
      <c r="C38" s="77" t="s">
        <v>77</v>
      </c>
      <c r="D38" s="300"/>
      <c r="E38" s="296"/>
      <c r="F38" s="39"/>
      <c r="G38" s="39"/>
      <c r="H38" s="35" t="s">
        <v>76</v>
      </c>
      <c r="I38" s="35" t="s">
        <v>76</v>
      </c>
    </row>
    <row r="39" spans="1:9" ht="15" customHeight="1" x14ac:dyDescent="0.3">
      <c r="A39" s="299"/>
      <c r="B39" s="300"/>
      <c r="C39" s="77" t="s">
        <v>83</v>
      </c>
      <c r="D39" s="300"/>
      <c r="E39" s="296"/>
      <c r="F39" s="35">
        <f>+F37+F38</f>
        <v>0</v>
      </c>
      <c r="G39" s="35">
        <f t="shared" ref="G39" si="12">+G37+G38</f>
        <v>0</v>
      </c>
      <c r="H39" s="35">
        <f>+G39-F39</f>
        <v>0</v>
      </c>
      <c r="I39" s="47">
        <f>+ROUND(IF(H39&gt;0,H39*E37,0),4)</f>
        <v>0</v>
      </c>
    </row>
    <row r="40" spans="1:9" ht="15" customHeight="1" x14ac:dyDescent="0.3">
      <c r="A40" s="299"/>
      <c r="B40" s="300"/>
      <c r="C40" s="77" t="s">
        <v>84</v>
      </c>
      <c r="D40" s="300" t="s">
        <v>75</v>
      </c>
      <c r="E40" s="296"/>
      <c r="F40" s="39"/>
      <c r="G40" s="39"/>
      <c r="H40" s="35" t="s">
        <v>76</v>
      </c>
      <c r="I40" s="35" t="s">
        <v>76</v>
      </c>
    </row>
    <row r="41" spans="1:9" ht="15" customHeight="1" x14ac:dyDescent="0.3">
      <c r="A41" s="299"/>
      <c r="B41" s="300"/>
      <c r="C41" s="77" t="s">
        <v>77</v>
      </c>
      <c r="D41" s="300"/>
      <c r="E41" s="296"/>
      <c r="F41" s="39"/>
      <c r="G41" s="39"/>
      <c r="H41" s="35" t="s">
        <v>76</v>
      </c>
      <c r="I41" s="35" t="s">
        <v>76</v>
      </c>
    </row>
    <row r="42" spans="1:9" ht="15" customHeight="1" x14ac:dyDescent="0.3">
      <c r="A42" s="299"/>
      <c r="B42" s="300"/>
      <c r="C42" s="77" t="s">
        <v>85</v>
      </c>
      <c r="D42" s="300"/>
      <c r="E42" s="296"/>
      <c r="F42" s="35">
        <f>+F40+F41</f>
        <v>0</v>
      </c>
      <c r="G42" s="35">
        <f t="shared" ref="G42" si="13">+G40+G41</f>
        <v>0</v>
      </c>
      <c r="H42" s="35">
        <f>+G42-F42</f>
        <v>0</v>
      </c>
      <c r="I42" s="47">
        <f>+ROUND(IF(H42&gt;0,H42*E40,0),4)</f>
        <v>0</v>
      </c>
    </row>
    <row r="43" spans="1:9" ht="15" customHeight="1" x14ac:dyDescent="0.3">
      <c r="A43" s="299" t="s">
        <v>71</v>
      </c>
      <c r="B43" s="300" t="s">
        <v>89</v>
      </c>
      <c r="C43" s="77" t="s">
        <v>73</v>
      </c>
      <c r="D43" s="114"/>
      <c r="E43" s="58"/>
      <c r="F43" s="39"/>
      <c r="G43" s="39"/>
      <c r="H43" s="35">
        <f>+G43-F43</f>
        <v>0</v>
      </c>
      <c r="I43" s="47">
        <f>+ROUND(IF(H43&gt;0,H43*E43,0),4)</f>
        <v>0</v>
      </c>
    </row>
    <row r="44" spans="1:9" ht="15" customHeight="1" x14ac:dyDescent="0.3">
      <c r="A44" s="299"/>
      <c r="B44" s="300"/>
      <c r="C44" s="77" t="s">
        <v>82</v>
      </c>
      <c r="D44" s="300" t="s">
        <v>75</v>
      </c>
      <c r="E44" s="296"/>
      <c r="F44" s="39"/>
      <c r="G44" s="39"/>
      <c r="H44" s="35" t="s">
        <v>76</v>
      </c>
      <c r="I44" s="35" t="s">
        <v>76</v>
      </c>
    </row>
    <row r="45" spans="1:9" ht="15" customHeight="1" x14ac:dyDescent="0.3">
      <c r="A45" s="299"/>
      <c r="B45" s="300"/>
      <c r="C45" s="77" t="s">
        <v>77</v>
      </c>
      <c r="D45" s="300"/>
      <c r="E45" s="296"/>
      <c r="F45" s="39"/>
      <c r="G45" s="39"/>
      <c r="H45" s="35" t="s">
        <v>76</v>
      </c>
      <c r="I45" s="35" t="s">
        <v>76</v>
      </c>
    </row>
    <row r="46" spans="1:9" ht="15" customHeight="1" x14ac:dyDescent="0.3">
      <c r="A46" s="299"/>
      <c r="B46" s="300"/>
      <c r="C46" s="77" t="s">
        <v>83</v>
      </c>
      <c r="D46" s="300"/>
      <c r="E46" s="296"/>
      <c r="F46" s="35">
        <f>+F44+F45</f>
        <v>0</v>
      </c>
      <c r="G46" s="35">
        <f t="shared" ref="G46" si="14">+G44+G45</f>
        <v>0</v>
      </c>
      <c r="H46" s="35">
        <f>+G46-F46</f>
        <v>0</v>
      </c>
      <c r="I46" s="47">
        <f>+ROUND(IF(H46&gt;0,H46*E44,0),4)</f>
        <v>0</v>
      </c>
    </row>
    <row r="47" spans="1:9" ht="15" customHeight="1" x14ac:dyDescent="0.3">
      <c r="A47" s="299"/>
      <c r="B47" s="300"/>
      <c r="C47" s="77" t="s">
        <v>84</v>
      </c>
      <c r="D47" s="300" t="s">
        <v>75</v>
      </c>
      <c r="E47" s="296"/>
      <c r="F47" s="39"/>
      <c r="G47" s="39"/>
      <c r="H47" s="35" t="s">
        <v>76</v>
      </c>
      <c r="I47" s="35" t="s">
        <v>76</v>
      </c>
    </row>
    <row r="48" spans="1:9" ht="15" customHeight="1" x14ac:dyDescent="0.3">
      <c r="A48" s="299"/>
      <c r="B48" s="300"/>
      <c r="C48" s="77" t="s">
        <v>77</v>
      </c>
      <c r="D48" s="300"/>
      <c r="E48" s="296"/>
      <c r="F48" s="39"/>
      <c r="G48" s="39"/>
      <c r="H48" s="35" t="s">
        <v>76</v>
      </c>
      <c r="I48" s="35" t="s">
        <v>76</v>
      </c>
    </row>
    <row r="49" spans="1:9" ht="15" customHeight="1" x14ac:dyDescent="0.3">
      <c r="A49" s="299"/>
      <c r="B49" s="300"/>
      <c r="C49" s="77" t="s">
        <v>85</v>
      </c>
      <c r="D49" s="300"/>
      <c r="E49" s="296"/>
      <c r="F49" s="35">
        <f>+F47+F48</f>
        <v>0</v>
      </c>
      <c r="G49" s="35">
        <f t="shared" ref="G49" si="15">+G47+G48</f>
        <v>0</v>
      </c>
      <c r="H49" s="35">
        <f>+G49-F49</f>
        <v>0</v>
      </c>
      <c r="I49" s="47">
        <f>+ROUND(IF(H49&gt;0,H49*E47,0),4)</f>
        <v>0</v>
      </c>
    </row>
    <row r="50" spans="1:9" ht="15" customHeight="1" x14ac:dyDescent="0.3">
      <c r="A50" s="299" t="s">
        <v>71</v>
      </c>
      <c r="B50" s="300" t="s">
        <v>90</v>
      </c>
      <c r="C50" s="77" t="s">
        <v>73</v>
      </c>
      <c r="D50" s="114"/>
      <c r="E50" s="58"/>
      <c r="F50" s="39"/>
      <c r="G50" s="39"/>
      <c r="H50" s="35">
        <f>+G50-F50</f>
        <v>0</v>
      </c>
      <c r="I50" s="47">
        <f>+ROUND(IF(H50&gt;0,H50*E50,0),4)</f>
        <v>0</v>
      </c>
    </row>
    <row r="51" spans="1:9" ht="15" customHeight="1" x14ac:dyDescent="0.3">
      <c r="A51" s="299"/>
      <c r="B51" s="300"/>
      <c r="C51" s="77" t="s">
        <v>82</v>
      </c>
      <c r="D51" s="300" t="s">
        <v>75</v>
      </c>
      <c r="E51" s="296"/>
      <c r="F51" s="39"/>
      <c r="G51" s="39"/>
      <c r="H51" s="35" t="s">
        <v>76</v>
      </c>
      <c r="I51" s="35" t="s">
        <v>76</v>
      </c>
    </row>
    <row r="52" spans="1:9" ht="15" customHeight="1" x14ac:dyDescent="0.3">
      <c r="A52" s="299"/>
      <c r="B52" s="300"/>
      <c r="C52" s="77" t="s">
        <v>77</v>
      </c>
      <c r="D52" s="300"/>
      <c r="E52" s="296"/>
      <c r="F52" s="39"/>
      <c r="G52" s="39"/>
      <c r="H52" s="35" t="s">
        <v>76</v>
      </c>
      <c r="I52" s="35" t="s">
        <v>76</v>
      </c>
    </row>
    <row r="53" spans="1:9" ht="15" customHeight="1" x14ac:dyDescent="0.3">
      <c r="A53" s="299"/>
      <c r="B53" s="300"/>
      <c r="C53" s="77" t="s">
        <v>83</v>
      </c>
      <c r="D53" s="300"/>
      <c r="E53" s="296"/>
      <c r="F53" s="35">
        <f>+F51+F52</f>
        <v>0</v>
      </c>
      <c r="G53" s="35">
        <f t="shared" ref="G53" si="16">+G51+G52</f>
        <v>0</v>
      </c>
      <c r="H53" s="35">
        <f>+G53-F53</f>
        <v>0</v>
      </c>
      <c r="I53" s="47">
        <f>+ROUND(IF(H53&gt;0,H53*E51,0),4)</f>
        <v>0</v>
      </c>
    </row>
    <row r="54" spans="1:9" ht="15" customHeight="1" x14ac:dyDescent="0.3">
      <c r="A54" s="299"/>
      <c r="B54" s="300"/>
      <c r="C54" s="77" t="s">
        <v>84</v>
      </c>
      <c r="D54" s="300" t="s">
        <v>75</v>
      </c>
      <c r="E54" s="296"/>
      <c r="F54" s="39"/>
      <c r="G54" s="39"/>
      <c r="H54" s="35" t="s">
        <v>76</v>
      </c>
      <c r="I54" s="35" t="s">
        <v>76</v>
      </c>
    </row>
    <row r="55" spans="1:9" ht="15" customHeight="1" x14ac:dyDescent="0.3">
      <c r="A55" s="299"/>
      <c r="B55" s="300"/>
      <c r="C55" s="77" t="s">
        <v>77</v>
      </c>
      <c r="D55" s="300"/>
      <c r="E55" s="296"/>
      <c r="F55" s="39"/>
      <c r="G55" s="39"/>
      <c r="H55" s="35" t="s">
        <v>76</v>
      </c>
      <c r="I55" s="35" t="s">
        <v>76</v>
      </c>
    </row>
    <row r="56" spans="1:9" ht="15" customHeight="1" x14ac:dyDescent="0.3">
      <c r="A56" s="299"/>
      <c r="B56" s="300"/>
      <c r="C56" s="77" t="s">
        <v>85</v>
      </c>
      <c r="D56" s="300"/>
      <c r="E56" s="296"/>
      <c r="F56" s="35">
        <f>+F54+F55</f>
        <v>0</v>
      </c>
      <c r="G56" s="35">
        <f t="shared" ref="G56" si="17">+G54+G55</f>
        <v>0</v>
      </c>
      <c r="H56" s="35">
        <f>+G56-F56</f>
        <v>0</v>
      </c>
      <c r="I56" s="47">
        <f>+ROUND(IF(H56&gt;0,H56*E54,0),4)</f>
        <v>0</v>
      </c>
    </row>
    <row r="57" spans="1:9" ht="15" customHeight="1" x14ac:dyDescent="0.3">
      <c r="A57" s="299" t="s">
        <v>71</v>
      </c>
      <c r="B57" s="300" t="s">
        <v>91</v>
      </c>
      <c r="C57" s="77" t="s">
        <v>73</v>
      </c>
      <c r="D57" s="114"/>
      <c r="E57" s="58"/>
      <c r="F57" s="39"/>
      <c r="G57" s="39"/>
      <c r="H57" s="35">
        <f>+G57-F57</f>
        <v>0</v>
      </c>
      <c r="I57" s="47">
        <f t="shared" ref="I57" si="18">+ROUND(IF(H57&gt;0,H57*E57,0),4)</f>
        <v>0</v>
      </c>
    </row>
    <row r="58" spans="1:9" ht="15" customHeight="1" x14ac:dyDescent="0.3">
      <c r="A58" s="299"/>
      <c r="B58" s="300"/>
      <c r="C58" s="77" t="s">
        <v>82</v>
      </c>
      <c r="D58" s="300" t="s">
        <v>75</v>
      </c>
      <c r="E58" s="296"/>
      <c r="F58" s="39"/>
      <c r="G58" s="39"/>
      <c r="H58" s="35" t="s">
        <v>76</v>
      </c>
      <c r="I58" s="35" t="s">
        <v>76</v>
      </c>
    </row>
    <row r="59" spans="1:9" ht="15" customHeight="1" x14ac:dyDescent="0.3">
      <c r="A59" s="299"/>
      <c r="B59" s="300"/>
      <c r="C59" s="77" t="s">
        <v>77</v>
      </c>
      <c r="D59" s="300"/>
      <c r="E59" s="296"/>
      <c r="F59" s="39"/>
      <c r="G59" s="39"/>
      <c r="H59" s="35" t="s">
        <v>76</v>
      </c>
      <c r="I59" s="35" t="s">
        <v>76</v>
      </c>
    </row>
    <row r="60" spans="1:9" ht="15" customHeight="1" x14ac:dyDescent="0.3">
      <c r="A60" s="299"/>
      <c r="B60" s="300"/>
      <c r="C60" s="77" t="s">
        <v>83</v>
      </c>
      <c r="D60" s="300"/>
      <c r="E60" s="296"/>
      <c r="F60" s="35">
        <f>+F58+F59</f>
        <v>0</v>
      </c>
      <c r="G60" s="35">
        <f t="shared" ref="G60" si="19">+G58+G59</f>
        <v>0</v>
      </c>
      <c r="H60" s="35">
        <f>+G60-F60</f>
        <v>0</v>
      </c>
      <c r="I60" s="47">
        <f>+ROUND(IF(H60&gt;0,H60*E58,0),4)</f>
        <v>0</v>
      </c>
    </row>
    <row r="61" spans="1:9" ht="15" customHeight="1" x14ac:dyDescent="0.3">
      <c r="A61" s="299"/>
      <c r="B61" s="300"/>
      <c r="C61" s="77" t="s">
        <v>84</v>
      </c>
      <c r="D61" s="300" t="s">
        <v>75</v>
      </c>
      <c r="E61" s="296"/>
      <c r="F61" s="39"/>
      <c r="G61" s="39"/>
      <c r="H61" s="35" t="s">
        <v>76</v>
      </c>
      <c r="I61" s="35" t="s">
        <v>76</v>
      </c>
    </row>
    <row r="62" spans="1:9" ht="15" customHeight="1" x14ac:dyDescent="0.3">
      <c r="A62" s="299"/>
      <c r="B62" s="300"/>
      <c r="C62" s="77" t="s">
        <v>77</v>
      </c>
      <c r="D62" s="300"/>
      <c r="E62" s="296"/>
      <c r="F62" s="39"/>
      <c r="G62" s="39"/>
      <c r="H62" s="35" t="s">
        <v>76</v>
      </c>
      <c r="I62" s="35" t="s">
        <v>76</v>
      </c>
    </row>
    <row r="63" spans="1:9" ht="15" customHeight="1" x14ac:dyDescent="0.3">
      <c r="A63" s="299"/>
      <c r="B63" s="300"/>
      <c r="C63" s="77" t="s">
        <v>85</v>
      </c>
      <c r="D63" s="300"/>
      <c r="E63" s="296"/>
      <c r="F63" s="35">
        <f>+F61+F62</f>
        <v>0</v>
      </c>
      <c r="G63" s="35">
        <f t="shared" ref="G63" si="20">+G61+G62</f>
        <v>0</v>
      </c>
      <c r="H63" s="35">
        <f>+G63-F63</f>
        <v>0</v>
      </c>
      <c r="I63" s="47">
        <f>+ROUND(IF(H63&gt;0,H63*E61,0),4)</f>
        <v>0</v>
      </c>
    </row>
    <row r="64" spans="1:9" ht="15" customHeight="1" x14ac:dyDescent="0.3">
      <c r="A64" s="299" t="s">
        <v>92</v>
      </c>
      <c r="B64" s="300" t="s">
        <v>93</v>
      </c>
      <c r="C64" s="77" t="s">
        <v>73</v>
      </c>
      <c r="D64" s="114"/>
      <c r="E64" s="58"/>
      <c r="F64" s="39"/>
      <c r="G64" s="39"/>
      <c r="H64" s="35">
        <f>+G64-F64</f>
        <v>0</v>
      </c>
      <c r="I64" s="47">
        <f t="shared" ref="I64" si="21">+ROUND(IF(H64&gt;0,H64*E64,0),4)</f>
        <v>0</v>
      </c>
    </row>
    <row r="65" spans="1:17" ht="15" customHeight="1" x14ac:dyDescent="0.3">
      <c r="A65" s="299"/>
      <c r="B65" s="300"/>
      <c r="C65" s="77" t="s">
        <v>94</v>
      </c>
      <c r="D65" s="300" t="s">
        <v>75</v>
      </c>
      <c r="E65" s="296"/>
      <c r="F65" s="39"/>
      <c r="G65" s="39"/>
      <c r="H65" s="35" t="s">
        <v>76</v>
      </c>
      <c r="I65" s="35" t="s">
        <v>76</v>
      </c>
    </row>
    <row r="66" spans="1:17" ht="15" customHeight="1" x14ac:dyDescent="0.3">
      <c r="A66" s="299"/>
      <c r="B66" s="300"/>
      <c r="C66" s="77" t="s">
        <v>77</v>
      </c>
      <c r="D66" s="300"/>
      <c r="E66" s="296"/>
      <c r="F66" s="39"/>
      <c r="G66" s="39"/>
      <c r="H66" s="35" t="s">
        <v>76</v>
      </c>
      <c r="I66" s="35" t="s">
        <v>76</v>
      </c>
    </row>
    <row r="67" spans="1:17" ht="15" customHeight="1" x14ac:dyDescent="0.3">
      <c r="A67" s="299"/>
      <c r="B67" s="300"/>
      <c r="C67" s="77" t="s">
        <v>95</v>
      </c>
      <c r="D67" s="300"/>
      <c r="E67" s="296"/>
      <c r="F67" s="35">
        <f>+F65+F66</f>
        <v>0</v>
      </c>
      <c r="G67" s="35">
        <f t="shared" ref="G67" si="22">+G65+G66</f>
        <v>0</v>
      </c>
      <c r="H67" s="35">
        <f>+G67-F67</f>
        <v>0</v>
      </c>
      <c r="I67" s="47">
        <f>+ROUND(IF(H67&gt;0,H67*E65,0),4)</f>
        <v>0</v>
      </c>
    </row>
    <row r="68" spans="1:17" ht="15" customHeight="1" x14ac:dyDescent="0.3">
      <c r="A68" s="299"/>
      <c r="B68" s="300"/>
      <c r="C68" s="77" t="s">
        <v>82</v>
      </c>
      <c r="D68" s="300" t="s">
        <v>75</v>
      </c>
      <c r="E68" s="296"/>
      <c r="F68" s="39"/>
      <c r="G68" s="39"/>
      <c r="H68" s="35" t="s">
        <v>76</v>
      </c>
      <c r="I68" s="35" t="s">
        <v>76</v>
      </c>
    </row>
    <row r="69" spans="1:17" ht="15" customHeight="1" x14ac:dyDescent="0.3">
      <c r="A69" s="299"/>
      <c r="B69" s="300"/>
      <c r="C69" s="77" t="s">
        <v>77</v>
      </c>
      <c r="D69" s="300"/>
      <c r="E69" s="296"/>
      <c r="F69" s="39"/>
      <c r="G69" s="39"/>
      <c r="H69" s="35" t="s">
        <v>76</v>
      </c>
      <c r="I69" s="35" t="s">
        <v>76</v>
      </c>
    </row>
    <row r="70" spans="1:17" ht="15" customHeight="1" x14ac:dyDescent="0.3">
      <c r="A70" s="299"/>
      <c r="B70" s="300"/>
      <c r="C70" s="77" t="s">
        <v>83</v>
      </c>
      <c r="D70" s="300"/>
      <c r="E70" s="296"/>
      <c r="F70" s="35">
        <f>+F68+F69</f>
        <v>0</v>
      </c>
      <c r="G70" s="35">
        <f t="shared" ref="G70" si="23">+G68+G69</f>
        <v>0</v>
      </c>
      <c r="H70" s="35">
        <f>+G70-F70</f>
        <v>0</v>
      </c>
      <c r="I70" s="47">
        <f>+ROUND(IF(H70&gt;0,H70*E68,0),4)</f>
        <v>0</v>
      </c>
    </row>
    <row r="71" spans="1:17" ht="15" customHeight="1" x14ac:dyDescent="0.3">
      <c r="A71" s="299"/>
      <c r="B71" s="300"/>
      <c r="C71" s="77" t="s">
        <v>84</v>
      </c>
      <c r="D71" s="300" t="s">
        <v>75</v>
      </c>
      <c r="E71" s="296"/>
      <c r="F71" s="39"/>
      <c r="G71" s="39"/>
      <c r="H71" s="35" t="s">
        <v>76</v>
      </c>
      <c r="I71" s="35" t="s">
        <v>76</v>
      </c>
    </row>
    <row r="72" spans="1:17" ht="15" customHeight="1" x14ac:dyDescent="0.3">
      <c r="A72" s="299"/>
      <c r="B72" s="300"/>
      <c r="C72" s="77" t="s">
        <v>77</v>
      </c>
      <c r="D72" s="300"/>
      <c r="E72" s="296"/>
      <c r="F72" s="39"/>
      <c r="G72" s="39"/>
      <c r="H72" s="35" t="s">
        <v>76</v>
      </c>
      <c r="I72" s="35" t="s">
        <v>76</v>
      </c>
    </row>
    <row r="73" spans="1:17" ht="15" customHeight="1" x14ac:dyDescent="0.3">
      <c r="A73" s="299"/>
      <c r="B73" s="300"/>
      <c r="C73" s="77" t="s">
        <v>85</v>
      </c>
      <c r="D73" s="300"/>
      <c r="E73" s="296"/>
      <c r="F73" s="35">
        <f>+F71+F72</f>
        <v>0</v>
      </c>
      <c r="G73" s="35">
        <f t="shared" ref="G73" si="24">+G71+G72</f>
        <v>0</v>
      </c>
      <c r="H73" s="35">
        <f>+G73-F73</f>
        <v>0</v>
      </c>
      <c r="I73" s="47">
        <f>+ROUND(IF(H73&gt;0,H73*E71,0),4)</f>
        <v>0</v>
      </c>
    </row>
    <row r="74" spans="1:17" ht="15" customHeight="1" x14ac:dyDescent="0.3">
      <c r="A74" s="299"/>
      <c r="B74" s="300"/>
      <c r="C74" s="77" t="s">
        <v>96</v>
      </c>
      <c r="D74" s="300" t="s">
        <v>75</v>
      </c>
      <c r="E74" s="296"/>
      <c r="F74" s="39"/>
      <c r="G74" s="39"/>
      <c r="H74" s="35" t="s">
        <v>76</v>
      </c>
      <c r="I74" s="35" t="s">
        <v>76</v>
      </c>
    </row>
    <row r="75" spans="1:17" ht="15" customHeight="1" x14ac:dyDescent="0.3">
      <c r="A75" s="299"/>
      <c r="B75" s="300"/>
      <c r="C75" s="77" t="s">
        <v>77</v>
      </c>
      <c r="D75" s="300"/>
      <c r="E75" s="296"/>
      <c r="F75" s="39"/>
      <c r="G75" s="39"/>
      <c r="H75" s="35" t="s">
        <v>76</v>
      </c>
      <c r="I75" s="35" t="s">
        <v>76</v>
      </c>
    </row>
    <row r="76" spans="1:17" ht="15" customHeight="1" x14ac:dyDescent="0.3">
      <c r="A76" s="299"/>
      <c r="B76" s="300"/>
      <c r="C76" s="77" t="s">
        <v>97</v>
      </c>
      <c r="D76" s="300"/>
      <c r="E76" s="296"/>
      <c r="F76" s="35">
        <f>+F74+F75</f>
        <v>0</v>
      </c>
      <c r="G76" s="35">
        <f t="shared" ref="G76" si="25">+G74+G75</f>
        <v>0</v>
      </c>
      <c r="H76" s="35">
        <f>+G76-F76</f>
        <v>0</v>
      </c>
      <c r="I76" s="47">
        <f>+ROUND(IF(H76&gt;0,H76*E74,0),4)</f>
        <v>0</v>
      </c>
      <c r="J76" s="119" t="s">
        <v>173</v>
      </c>
    </row>
    <row r="77" spans="1:17" ht="15" customHeight="1" x14ac:dyDescent="0.3">
      <c r="A77" s="314" t="s">
        <v>71</v>
      </c>
      <c r="B77" s="315" t="s">
        <v>103</v>
      </c>
      <c r="C77" s="103" t="s">
        <v>73</v>
      </c>
      <c r="D77" s="110" t="s">
        <v>76</v>
      </c>
      <c r="E77" s="49" t="s">
        <v>76</v>
      </c>
      <c r="F77" s="49" t="s">
        <v>76</v>
      </c>
      <c r="G77" s="49" t="s">
        <v>76</v>
      </c>
      <c r="H77" s="49" t="s">
        <v>76</v>
      </c>
      <c r="I77" s="49">
        <f>N77</f>
        <v>0</v>
      </c>
      <c r="J77" s="134">
        <f>IFERROR(O77,0)</f>
        <v>0</v>
      </c>
      <c r="M77" s="132">
        <f>IFERROR(ROUND((I77+I78)/M78,6),0)</f>
        <v>0</v>
      </c>
      <c r="N77" s="132">
        <f>ROUND((+I5+I9+I10+I14+I21+I22+I29+I36+I43+I50+I57+I64),4)</f>
        <v>0</v>
      </c>
      <c r="O77" s="132">
        <f>IFERROR(ROUND(((N77+N78)/M78),6),0)</f>
        <v>0</v>
      </c>
      <c r="P77" s="40" t="s">
        <v>100</v>
      </c>
      <c r="Q77" s="40" t="s">
        <v>102</v>
      </c>
    </row>
    <row r="78" spans="1:17" ht="15" customHeight="1" x14ac:dyDescent="0.3">
      <c r="A78" s="314"/>
      <c r="B78" s="315"/>
      <c r="C78" s="103" t="s">
        <v>78</v>
      </c>
      <c r="D78" s="110"/>
      <c r="E78" s="131">
        <f>M78</f>
        <v>0</v>
      </c>
      <c r="F78" s="49" t="s">
        <v>76</v>
      </c>
      <c r="G78" s="49" t="s">
        <v>76</v>
      </c>
      <c r="H78" s="49" t="s">
        <v>76</v>
      </c>
      <c r="I78" s="49">
        <f>N78</f>
        <v>0</v>
      </c>
      <c r="J78" s="75"/>
      <c r="M78" s="133">
        <f>ROUND(SUM(E6,E11,E15,E18,E23,E26,E30,E33,E37,E40,E44,E47,E51,E54,E58,E61,E65,E68,E71,E74),3)</f>
        <v>0</v>
      </c>
      <c r="N78" s="132">
        <f>ROUND((+I8+I13+I17+I20+I25+I28+I32+I35+I39+I42+I46+I49+I53+I56+I60+I63+I67+I70+I73+I76),4)</f>
        <v>0</v>
      </c>
      <c r="O78" s="132">
        <f>IFERROR(P78/M78,0)</f>
        <v>0</v>
      </c>
      <c r="P78" s="132">
        <f>O77*M78</f>
        <v>0</v>
      </c>
      <c r="Q78" s="40">
        <f>ROUND(O78*M78*1.2,2)</f>
        <v>0</v>
      </c>
    </row>
    <row r="79" spans="1:17" ht="15" customHeight="1" x14ac:dyDescent="0.3">
      <c r="A79" s="299" t="s">
        <v>104</v>
      </c>
      <c r="B79" s="300" t="s">
        <v>105</v>
      </c>
      <c r="C79" s="77" t="s">
        <v>106</v>
      </c>
      <c r="D79" s="114" t="s">
        <v>107</v>
      </c>
      <c r="E79" s="58"/>
      <c r="F79" s="39"/>
      <c r="G79" s="39"/>
      <c r="H79" s="35">
        <f>+G79-F79</f>
        <v>0</v>
      </c>
      <c r="I79" s="47">
        <f>+ROUND(IF(H79&gt;0,H79*E79,0),4)</f>
        <v>0</v>
      </c>
    </row>
    <row r="80" spans="1:17" ht="15" customHeight="1" x14ac:dyDescent="0.3">
      <c r="A80" s="299"/>
      <c r="B80" s="300"/>
      <c r="C80" s="77" t="s">
        <v>108</v>
      </c>
      <c r="D80" s="114" t="s">
        <v>109</v>
      </c>
      <c r="E80" s="58"/>
      <c r="F80" s="39"/>
      <c r="G80" s="39"/>
      <c r="H80" s="35">
        <f>+G80-F80</f>
        <v>0</v>
      </c>
      <c r="I80" s="47">
        <f>+ROUND(IF(H80&gt;0,H80*E80,0),4)</f>
        <v>0</v>
      </c>
    </row>
    <row r="81" spans="1:13" ht="15" customHeight="1" x14ac:dyDescent="0.3">
      <c r="A81" s="299"/>
      <c r="B81" s="300"/>
      <c r="C81" s="77" t="s">
        <v>74</v>
      </c>
      <c r="D81" s="300" t="s">
        <v>75</v>
      </c>
      <c r="E81" s="296"/>
      <c r="F81" s="39"/>
      <c r="G81" s="39"/>
      <c r="H81" s="35" t="s">
        <v>76</v>
      </c>
      <c r="I81" s="35" t="s">
        <v>76</v>
      </c>
      <c r="K81" s="135"/>
      <c r="M81" s="40">
        <f>ROUND(O77*M78*1.2,2)</f>
        <v>0</v>
      </c>
    </row>
    <row r="82" spans="1:13" ht="15" customHeight="1" x14ac:dyDescent="0.3">
      <c r="A82" s="299"/>
      <c r="B82" s="300"/>
      <c r="C82" s="77" t="s">
        <v>77</v>
      </c>
      <c r="D82" s="300"/>
      <c r="E82" s="296"/>
      <c r="F82" s="39"/>
      <c r="G82" s="39"/>
      <c r="H82" s="35" t="s">
        <v>76</v>
      </c>
      <c r="I82" s="35" t="s">
        <v>76</v>
      </c>
    </row>
    <row r="83" spans="1:13" ht="15" customHeight="1" x14ac:dyDescent="0.3">
      <c r="A83" s="299"/>
      <c r="B83" s="300"/>
      <c r="C83" s="77" t="s">
        <v>78</v>
      </c>
      <c r="D83" s="300"/>
      <c r="E83" s="296"/>
      <c r="F83" s="35">
        <f>+F81+F82</f>
        <v>0</v>
      </c>
      <c r="G83" s="35">
        <f t="shared" ref="G83" si="26">+G81+G82</f>
        <v>0</v>
      </c>
      <c r="H83" s="35">
        <f>+G83-F83</f>
        <v>0</v>
      </c>
      <c r="I83" s="47">
        <f>+ROUND(IF(H83&gt;0,H83*E81,0),4)</f>
        <v>0</v>
      </c>
    </row>
    <row r="84" spans="1:13" ht="15" customHeight="1" x14ac:dyDescent="0.3">
      <c r="A84" s="299" t="s">
        <v>104</v>
      </c>
      <c r="B84" s="300" t="s">
        <v>110</v>
      </c>
      <c r="C84" s="77" t="s">
        <v>106</v>
      </c>
      <c r="D84" s="114" t="s">
        <v>107</v>
      </c>
      <c r="E84" s="58"/>
      <c r="F84" s="39"/>
      <c r="G84" s="39"/>
      <c r="H84" s="35">
        <f>+G84-F84</f>
        <v>0</v>
      </c>
      <c r="I84" s="47">
        <f t="shared" ref="I84:I85" si="27">+ROUND(IF(H84&gt;0,H84*E84,0),4)</f>
        <v>0</v>
      </c>
    </row>
    <row r="85" spans="1:13" ht="15" customHeight="1" x14ac:dyDescent="0.3">
      <c r="A85" s="299"/>
      <c r="B85" s="300"/>
      <c r="C85" s="77" t="s">
        <v>108</v>
      </c>
      <c r="D85" s="114" t="s">
        <v>109</v>
      </c>
      <c r="E85" s="58"/>
      <c r="F85" s="39"/>
      <c r="G85" s="39"/>
      <c r="H85" s="35">
        <f>+G85-F85</f>
        <v>0</v>
      </c>
      <c r="I85" s="47">
        <f t="shared" si="27"/>
        <v>0</v>
      </c>
    </row>
    <row r="86" spans="1:13" ht="15" customHeight="1" x14ac:dyDescent="0.3">
      <c r="A86" s="299"/>
      <c r="B86" s="300"/>
      <c r="C86" s="77" t="s">
        <v>74</v>
      </c>
      <c r="D86" s="300" t="s">
        <v>75</v>
      </c>
      <c r="E86" s="296"/>
      <c r="F86" s="39"/>
      <c r="G86" s="39"/>
      <c r="H86" s="35" t="s">
        <v>76</v>
      </c>
      <c r="I86" s="35" t="s">
        <v>76</v>
      </c>
    </row>
    <row r="87" spans="1:13" x14ac:dyDescent="0.3">
      <c r="A87" s="299"/>
      <c r="B87" s="300"/>
      <c r="C87" s="77" t="s">
        <v>77</v>
      </c>
      <c r="D87" s="300"/>
      <c r="E87" s="296"/>
      <c r="F87" s="39"/>
      <c r="G87" s="39"/>
      <c r="H87" s="35" t="s">
        <v>76</v>
      </c>
      <c r="I87" s="35" t="s">
        <v>76</v>
      </c>
    </row>
    <row r="88" spans="1:13" x14ac:dyDescent="0.3">
      <c r="A88" s="299"/>
      <c r="B88" s="300"/>
      <c r="C88" s="77" t="s">
        <v>78</v>
      </c>
      <c r="D88" s="300"/>
      <c r="E88" s="296"/>
      <c r="F88" s="35">
        <f>+F86+F87</f>
        <v>0</v>
      </c>
      <c r="G88" s="35">
        <f t="shared" ref="G88" si="28">+G86+G87</f>
        <v>0</v>
      </c>
      <c r="H88" s="35">
        <f>+G88-F88</f>
        <v>0</v>
      </c>
      <c r="I88" s="47">
        <f>+ROUND(IF(H88&gt;0,H88*E86,0),4)</f>
        <v>0</v>
      </c>
    </row>
    <row r="89" spans="1:13" ht="15" customHeight="1" x14ac:dyDescent="0.3">
      <c r="A89" s="299" t="s">
        <v>104</v>
      </c>
      <c r="B89" s="300" t="s">
        <v>111</v>
      </c>
      <c r="C89" s="77" t="s">
        <v>106</v>
      </c>
      <c r="D89" s="114" t="s">
        <v>107</v>
      </c>
      <c r="E89" s="58"/>
      <c r="F89" s="39"/>
      <c r="G89" s="39"/>
      <c r="H89" s="35">
        <f>+G89-F89</f>
        <v>0</v>
      </c>
      <c r="I89" s="47">
        <f t="shared" ref="I89:I90" si="29">+ROUND(IF(H89&gt;0,H89*E89,0),4)</f>
        <v>0</v>
      </c>
    </row>
    <row r="90" spans="1:13" ht="15" customHeight="1" x14ac:dyDescent="0.3">
      <c r="A90" s="299"/>
      <c r="B90" s="300"/>
      <c r="C90" s="77" t="s">
        <v>108</v>
      </c>
      <c r="D90" s="114" t="s">
        <v>109</v>
      </c>
      <c r="E90" s="58"/>
      <c r="F90" s="39"/>
      <c r="G90" s="39"/>
      <c r="H90" s="35">
        <f>+G90-F90</f>
        <v>0</v>
      </c>
      <c r="I90" s="47">
        <f t="shared" si="29"/>
        <v>0</v>
      </c>
    </row>
    <row r="91" spans="1:13" x14ac:dyDescent="0.3">
      <c r="A91" s="299"/>
      <c r="B91" s="300"/>
      <c r="C91" s="77" t="s">
        <v>74</v>
      </c>
      <c r="D91" s="300" t="s">
        <v>75</v>
      </c>
      <c r="E91" s="296"/>
      <c r="F91" s="39"/>
      <c r="G91" s="39"/>
      <c r="H91" s="35" t="s">
        <v>76</v>
      </c>
      <c r="I91" s="35" t="s">
        <v>76</v>
      </c>
    </row>
    <row r="92" spans="1:13" x14ac:dyDescent="0.3">
      <c r="A92" s="299"/>
      <c r="B92" s="300"/>
      <c r="C92" s="77" t="s">
        <v>77</v>
      </c>
      <c r="D92" s="300"/>
      <c r="E92" s="296"/>
      <c r="F92" s="39"/>
      <c r="G92" s="39"/>
      <c r="H92" s="35" t="s">
        <v>76</v>
      </c>
      <c r="I92" s="35" t="s">
        <v>76</v>
      </c>
    </row>
    <row r="93" spans="1:13" x14ac:dyDescent="0.3">
      <c r="A93" s="299"/>
      <c r="B93" s="300"/>
      <c r="C93" s="77" t="s">
        <v>78</v>
      </c>
      <c r="D93" s="300"/>
      <c r="E93" s="296"/>
      <c r="F93" s="35">
        <f>+F91+F92</f>
        <v>0</v>
      </c>
      <c r="G93" s="35">
        <f t="shared" ref="G93" si="30">+G91+G92</f>
        <v>0</v>
      </c>
      <c r="H93" s="35">
        <f>+G93-F93</f>
        <v>0</v>
      </c>
      <c r="I93" s="47">
        <f>+ROUND(IF(H93&gt;0,H93*E91,0),4)</f>
        <v>0</v>
      </c>
    </row>
    <row r="94" spans="1:13" ht="15" customHeight="1" x14ac:dyDescent="0.3">
      <c r="A94" s="299" t="s">
        <v>104</v>
      </c>
      <c r="B94" s="300" t="s">
        <v>112</v>
      </c>
      <c r="C94" s="77" t="s">
        <v>106</v>
      </c>
      <c r="D94" s="114" t="s">
        <v>107</v>
      </c>
      <c r="E94" s="58"/>
      <c r="F94" s="39"/>
      <c r="G94" s="39"/>
      <c r="H94" s="35">
        <f>+G94-F94</f>
        <v>0</v>
      </c>
      <c r="I94" s="47">
        <f>+ROUND(IF(H94&gt;0,H94*E94,0),4)</f>
        <v>0</v>
      </c>
    </row>
    <row r="95" spans="1:13" ht="15" customHeight="1" x14ac:dyDescent="0.3">
      <c r="A95" s="299"/>
      <c r="B95" s="300"/>
      <c r="C95" s="77" t="s">
        <v>108</v>
      </c>
      <c r="D95" s="114" t="s">
        <v>109</v>
      </c>
      <c r="E95" s="58"/>
      <c r="F95" s="39"/>
      <c r="G95" s="39"/>
      <c r="H95" s="35">
        <f>+G95-F95</f>
        <v>0</v>
      </c>
      <c r="I95" s="47">
        <f>+ROUND(IF(H95&gt;0,H95*E95,0),4)</f>
        <v>0</v>
      </c>
    </row>
    <row r="96" spans="1:13" x14ac:dyDescent="0.3">
      <c r="A96" s="299"/>
      <c r="B96" s="300"/>
      <c r="C96" s="77" t="s">
        <v>82</v>
      </c>
      <c r="D96" s="300" t="s">
        <v>75</v>
      </c>
      <c r="E96" s="296"/>
      <c r="F96" s="39"/>
      <c r="G96" s="39"/>
      <c r="H96" s="35" t="s">
        <v>76</v>
      </c>
      <c r="I96" s="35" t="s">
        <v>76</v>
      </c>
    </row>
    <row r="97" spans="1:9" x14ac:dyDescent="0.3">
      <c r="A97" s="299"/>
      <c r="B97" s="300"/>
      <c r="C97" s="77" t="s">
        <v>77</v>
      </c>
      <c r="D97" s="300"/>
      <c r="E97" s="296"/>
      <c r="F97" s="39"/>
      <c r="G97" s="39"/>
      <c r="H97" s="35" t="s">
        <v>76</v>
      </c>
      <c r="I97" s="35" t="s">
        <v>76</v>
      </c>
    </row>
    <row r="98" spans="1:9" x14ac:dyDescent="0.3">
      <c r="A98" s="299"/>
      <c r="B98" s="300"/>
      <c r="C98" s="77" t="s">
        <v>83</v>
      </c>
      <c r="D98" s="300"/>
      <c r="E98" s="296"/>
      <c r="F98" s="35">
        <f>+F96+F97</f>
        <v>0</v>
      </c>
      <c r="G98" s="35">
        <f t="shared" ref="G98" si="31">+G96+G97</f>
        <v>0</v>
      </c>
      <c r="H98" s="35">
        <f>+G98-F98</f>
        <v>0</v>
      </c>
      <c r="I98" s="47">
        <f>+ROUND(IF(H98&gt;0,H98*E96,0),4)</f>
        <v>0</v>
      </c>
    </row>
    <row r="99" spans="1:9" x14ac:dyDescent="0.3">
      <c r="A99" s="299"/>
      <c r="B99" s="300"/>
      <c r="C99" s="77" t="s">
        <v>84</v>
      </c>
      <c r="D99" s="300" t="s">
        <v>75</v>
      </c>
      <c r="E99" s="296"/>
      <c r="F99" s="39"/>
      <c r="G99" s="39"/>
      <c r="H99" s="35" t="s">
        <v>76</v>
      </c>
      <c r="I99" s="35" t="s">
        <v>76</v>
      </c>
    </row>
    <row r="100" spans="1:9" x14ac:dyDescent="0.3">
      <c r="A100" s="299"/>
      <c r="B100" s="300"/>
      <c r="C100" s="77" t="s">
        <v>77</v>
      </c>
      <c r="D100" s="300"/>
      <c r="E100" s="296"/>
      <c r="F100" s="39"/>
      <c r="G100" s="39"/>
      <c r="H100" s="35" t="s">
        <v>76</v>
      </c>
      <c r="I100" s="35" t="s">
        <v>76</v>
      </c>
    </row>
    <row r="101" spans="1:9" ht="15" customHeight="1" x14ac:dyDescent="0.3">
      <c r="A101" s="299"/>
      <c r="B101" s="300"/>
      <c r="C101" s="77" t="s">
        <v>85</v>
      </c>
      <c r="D101" s="300"/>
      <c r="E101" s="296"/>
      <c r="F101" s="35">
        <f>+F99+F100</f>
        <v>0</v>
      </c>
      <c r="G101" s="35">
        <f t="shared" ref="G101" si="32">+G99+G100</f>
        <v>0</v>
      </c>
      <c r="H101" s="35">
        <f>+G101-F101</f>
        <v>0</v>
      </c>
      <c r="I101" s="47">
        <f>+ROUND(IF(H101&gt;0,H101*E99,0),4)</f>
        <v>0</v>
      </c>
    </row>
    <row r="102" spans="1:9" x14ac:dyDescent="0.3">
      <c r="A102" s="299" t="s">
        <v>104</v>
      </c>
      <c r="B102" s="300" t="s">
        <v>113</v>
      </c>
      <c r="C102" s="77" t="s">
        <v>106</v>
      </c>
      <c r="D102" s="114" t="s">
        <v>107</v>
      </c>
      <c r="E102" s="58"/>
      <c r="F102" s="39"/>
      <c r="G102" s="39"/>
      <c r="H102" s="35">
        <f>+G102-F102</f>
        <v>0</v>
      </c>
      <c r="I102" s="47">
        <f t="shared" ref="I102" si="33">+ROUND(IF(H102&gt;0,H102*E102,0),4)</f>
        <v>0</v>
      </c>
    </row>
    <row r="103" spans="1:9" x14ac:dyDescent="0.3">
      <c r="A103" s="299"/>
      <c r="B103" s="300"/>
      <c r="C103" s="77" t="s">
        <v>108</v>
      </c>
      <c r="D103" s="114" t="s">
        <v>109</v>
      </c>
      <c r="E103" s="58"/>
      <c r="F103" s="39"/>
      <c r="G103" s="39"/>
      <c r="H103" s="35">
        <f>+G103-F103</f>
        <v>0</v>
      </c>
      <c r="I103" s="47">
        <f>+ROUND(IF(H103&gt;0,H103*E103,0),4)</f>
        <v>0</v>
      </c>
    </row>
    <row r="104" spans="1:9" x14ac:dyDescent="0.3">
      <c r="A104" s="299"/>
      <c r="B104" s="300"/>
      <c r="C104" s="77" t="s">
        <v>82</v>
      </c>
      <c r="D104" s="300" t="s">
        <v>75</v>
      </c>
      <c r="E104" s="296"/>
      <c r="F104" s="39"/>
      <c r="G104" s="39"/>
      <c r="H104" s="35" t="s">
        <v>76</v>
      </c>
      <c r="I104" s="35" t="s">
        <v>76</v>
      </c>
    </row>
    <row r="105" spans="1:9" x14ac:dyDescent="0.3">
      <c r="A105" s="299"/>
      <c r="B105" s="300"/>
      <c r="C105" s="77" t="s">
        <v>77</v>
      </c>
      <c r="D105" s="300"/>
      <c r="E105" s="296"/>
      <c r="F105" s="39"/>
      <c r="G105" s="39"/>
      <c r="H105" s="35" t="s">
        <v>76</v>
      </c>
      <c r="I105" s="35" t="s">
        <v>76</v>
      </c>
    </row>
    <row r="106" spans="1:9" x14ac:dyDescent="0.3">
      <c r="A106" s="299"/>
      <c r="B106" s="300"/>
      <c r="C106" s="77" t="s">
        <v>83</v>
      </c>
      <c r="D106" s="300"/>
      <c r="E106" s="296"/>
      <c r="F106" s="35">
        <f>+F104+F105</f>
        <v>0</v>
      </c>
      <c r="G106" s="35">
        <f t="shared" ref="G106" si="34">+G104+G105</f>
        <v>0</v>
      </c>
      <c r="H106" s="35">
        <f>+G106-F106</f>
        <v>0</v>
      </c>
      <c r="I106" s="47">
        <f>+ROUND(IF(H106&gt;0,H106*E104,0),4)</f>
        <v>0</v>
      </c>
    </row>
    <row r="107" spans="1:9" x14ac:dyDescent="0.3">
      <c r="A107" s="299"/>
      <c r="B107" s="300"/>
      <c r="C107" s="77" t="s">
        <v>84</v>
      </c>
      <c r="D107" s="300" t="s">
        <v>75</v>
      </c>
      <c r="E107" s="296"/>
      <c r="F107" s="39"/>
      <c r="G107" s="39"/>
      <c r="H107" s="35" t="s">
        <v>76</v>
      </c>
      <c r="I107" s="35" t="s">
        <v>76</v>
      </c>
    </row>
    <row r="108" spans="1:9" x14ac:dyDescent="0.3">
      <c r="A108" s="299"/>
      <c r="B108" s="300"/>
      <c r="C108" s="77" t="s">
        <v>77</v>
      </c>
      <c r="D108" s="300"/>
      <c r="E108" s="296"/>
      <c r="F108" s="39"/>
      <c r="G108" s="39"/>
      <c r="H108" s="35" t="s">
        <v>76</v>
      </c>
      <c r="I108" s="35" t="s">
        <v>76</v>
      </c>
    </row>
    <row r="109" spans="1:9" x14ac:dyDescent="0.3">
      <c r="A109" s="299"/>
      <c r="B109" s="300"/>
      <c r="C109" s="77" t="s">
        <v>85</v>
      </c>
      <c r="D109" s="300"/>
      <c r="E109" s="296"/>
      <c r="F109" s="35">
        <f>+F107+F108</f>
        <v>0</v>
      </c>
      <c r="G109" s="35">
        <f t="shared" ref="G109" si="35">+G107+G108</f>
        <v>0</v>
      </c>
      <c r="H109" s="35">
        <f>+G109-F109</f>
        <v>0</v>
      </c>
      <c r="I109" s="47">
        <f>+ROUND(IF(H109&gt;0,H109*E107,0),4)</f>
        <v>0</v>
      </c>
    </row>
    <row r="110" spans="1:9" x14ac:dyDescent="0.3">
      <c r="A110" s="299" t="s">
        <v>104</v>
      </c>
      <c r="B110" s="300" t="s">
        <v>114</v>
      </c>
      <c r="C110" s="77" t="s">
        <v>106</v>
      </c>
      <c r="D110" s="114" t="s">
        <v>107</v>
      </c>
      <c r="E110" s="58"/>
      <c r="F110" s="39"/>
      <c r="G110" s="39"/>
      <c r="H110" s="35">
        <f>+G110-F110</f>
        <v>0</v>
      </c>
      <c r="I110" s="47">
        <f>+ROUND(IF(H110&gt;0,H110*E110,0),4)</f>
        <v>0</v>
      </c>
    </row>
    <row r="111" spans="1:9" x14ac:dyDescent="0.3">
      <c r="A111" s="299"/>
      <c r="B111" s="300"/>
      <c r="C111" s="77" t="s">
        <v>108</v>
      </c>
      <c r="D111" s="114" t="s">
        <v>109</v>
      </c>
      <c r="E111" s="58"/>
      <c r="F111" s="39"/>
      <c r="G111" s="39"/>
      <c r="H111" s="35">
        <f>+G111-F111</f>
        <v>0</v>
      </c>
      <c r="I111" s="47">
        <f>+ROUND(IF(H111&gt;0,H111*E111,0),4)</f>
        <v>0</v>
      </c>
    </row>
    <row r="112" spans="1:9" x14ac:dyDescent="0.3">
      <c r="A112" s="299"/>
      <c r="B112" s="300"/>
      <c r="C112" s="77" t="s">
        <v>82</v>
      </c>
      <c r="D112" s="300" t="s">
        <v>75</v>
      </c>
      <c r="E112" s="296"/>
      <c r="F112" s="39"/>
      <c r="G112" s="39"/>
      <c r="H112" s="35" t="s">
        <v>76</v>
      </c>
      <c r="I112" s="35" t="s">
        <v>76</v>
      </c>
    </row>
    <row r="113" spans="1:9" x14ac:dyDescent="0.3">
      <c r="A113" s="299"/>
      <c r="B113" s="300"/>
      <c r="C113" s="77" t="s">
        <v>77</v>
      </c>
      <c r="D113" s="300"/>
      <c r="E113" s="296"/>
      <c r="F113" s="39"/>
      <c r="G113" s="39"/>
      <c r="H113" s="35" t="s">
        <v>76</v>
      </c>
      <c r="I113" s="35" t="s">
        <v>76</v>
      </c>
    </row>
    <row r="114" spans="1:9" x14ac:dyDescent="0.3">
      <c r="A114" s="299"/>
      <c r="B114" s="300"/>
      <c r="C114" s="77" t="s">
        <v>83</v>
      </c>
      <c r="D114" s="300"/>
      <c r="E114" s="296"/>
      <c r="F114" s="35">
        <f>+F112+F113</f>
        <v>0</v>
      </c>
      <c r="G114" s="35">
        <f t="shared" ref="G114" si="36">+G112+G113</f>
        <v>0</v>
      </c>
      <c r="H114" s="35">
        <f>+G114-F114</f>
        <v>0</v>
      </c>
      <c r="I114" s="47">
        <f>+ROUND(IF(H114&gt;0,H114*E112,0),4)</f>
        <v>0</v>
      </c>
    </row>
    <row r="115" spans="1:9" x14ac:dyDescent="0.3">
      <c r="A115" s="299"/>
      <c r="B115" s="300"/>
      <c r="C115" s="77" t="s">
        <v>84</v>
      </c>
      <c r="D115" s="300" t="s">
        <v>75</v>
      </c>
      <c r="E115" s="296"/>
      <c r="F115" s="39"/>
      <c r="G115" s="39"/>
      <c r="H115" s="35" t="s">
        <v>76</v>
      </c>
      <c r="I115" s="35" t="s">
        <v>76</v>
      </c>
    </row>
    <row r="116" spans="1:9" x14ac:dyDescent="0.3">
      <c r="A116" s="299"/>
      <c r="B116" s="300"/>
      <c r="C116" s="77" t="s">
        <v>77</v>
      </c>
      <c r="D116" s="300"/>
      <c r="E116" s="296"/>
      <c r="F116" s="39"/>
      <c r="G116" s="39"/>
      <c r="H116" s="35" t="s">
        <v>76</v>
      </c>
      <c r="I116" s="35" t="s">
        <v>76</v>
      </c>
    </row>
    <row r="117" spans="1:9" x14ac:dyDescent="0.3">
      <c r="A117" s="299"/>
      <c r="B117" s="300"/>
      <c r="C117" s="77" t="s">
        <v>85</v>
      </c>
      <c r="D117" s="300"/>
      <c r="E117" s="296"/>
      <c r="F117" s="35">
        <f>+F115+F116</f>
        <v>0</v>
      </c>
      <c r="G117" s="35">
        <f t="shared" ref="G117" si="37">+G115+G116</f>
        <v>0</v>
      </c>
      <c r="H117" s="35">
        <f>+G117-F117</f>
        <v>0</v>
      </c>
      <c r="I117" s="47">
        <f>+ROUND(IF(H117&gt;0,H117*E115,0),4)</f>
        <v>0</v>
      </c>
    </row>
    <row r="118" spans="1:9" x14ac:dyDescent="0.3">
      <c r="A118" s="299" t="s">
        <v>104</v>
      </c>
      <c r="B118" s="300" t="s">
        <v>115</v>
      </c>
      <c r="C118" s="77" t="s">
        <v>106</v>
      </c>
      <c r="D118" s="114" t="s">
        <v>107</v>
      </c>
      <c r="E118" s="58"/>
      <c r="F118" s="39"/>
      <c r="G118" s="39"/>
      <c r="H118" s="35">
        <f>+G118-F118</f>
        <v>0</v>
      </c>
      <c r="I118" s="47">
        <f>+ROUND(IF(H118&gt;0,H118*E118,0),4)</f>
        <v>0</v>
      </c>
    </row>
    <row r="119" spans="1:9" x14ac:dyDescent="0.3">
      <c r="A119" s="299"/>
      <c r="B119" s="300"/>
      <c r="C119" s="77" t="s">
        <v>108</v>
      </c>
      <c r="D119" s="114" t="s">
        <v>109</v>
      </c>
      <c r="E119" s="58"/>
      <c r="F119" s="39"/>
      <c r="G119" s="39"/>
      <c r="H119" s="35">
        <f>+G119-F119</f>
        <v>0</v>
      </c>
      <c r="I119" s="47">
        <f>+ROUND(IF(H119&gt;0,H119*E119,0),4)</f>
        <v>0</v>
      </c>
    </row>
    <row r="120" spans="1:9" x14ac:dyDescent="0.3">
      <c r="A120" s="299"/>
      <c r="B120" s="300"/>
      <c r="C120" s="77" t="s">
        <v>82</v>
      </c>
      <c r="D120" s="300" t="s">
        <v>75</v>
      </c>
      <c r="E120" s="296"/>
      <c r="F120" s="39"/>
      <c r="G120" s="39"/>
      <c r="H120" s="35" t="s">
        <v>76</v>
      </c>
      <c r="I120" s="35" t="s">
        <v>76</v>
      </c>
    </row>
    <row r="121" spans="1:9" x14ac:dyDescent="0.3">
      <c r="A121" s="299"/>
      <c r="B121" s="300"/>
      <c r="C121" s="77" t="s">
        <v>77</v>
      </c>
      <c r="D121" s="300"/>
      <c r="E121" s="296"/>
      <c r="F121" s="39"/>
      <c r="G121" s="39"/>
      <c r="H121" s="35" t="s">
        <v>76</v>
      </c>
      <c r="I121" s="35" t="s">
        <v>76</v>
      </c>
    </row>
    <row r="122" spans="1:9" x14ac:dyDescent="0.3">
      <c r="A122" s="299"/>
      <c r="B122" s="300"/>
      <c r="C122" s="77" t="s">
        <v>83</v>
      </c>
      <c r="D122" s="300"/>
      <c r="E122" s="296"/>
      <c r="F122" s="35">
        <f>+F120+F121</f>
        <v>0</v>
      </c>
      <c r="G122" s="35">
        <f t="shared" ref="G122" si="38">+G120+G121</f>
        <v>0</v>
      </c>
      <c r="H122" s="35">
        <f>+G122-F122</f>
        <v>0</v>
      </c>
      <c r="I122" s="47">
        <f>+ROUND(IF(H122&gt;0,H122*E120,0),4)</f>
        <v>0</v>
      </c>
    </row>
    <row r="123" spans="1:9" x14ac:dyDescent="0.3">
      <c r="A123" s="299"/>
      <c r="B123" s="300"/>
      <c r="C123" s="77" t="s">
        <v>84</v>
      </c>
      <c r="D123" s="300" t="s">
        <v>75</v>
      </c>
      <c r="E123" s="296"/>
      <c r="F123" s="39"/>
      <c r="G123" s="39"/>
      <c r="H123" s="35" t="s">
        <v>76</v>
      </c>
      <c r="I123" s="35" t="s">
        <v>76</v>
      </c>
    </row>
    <row r="124" spans="1:9" x14ac:dyDescent="0.3">
      <c r="A124" s="299"/>
      <c r="B124" s="300"/>
      <c r="C124" s="77" t="s">
        <v>77</v>
      </c>
      <c r="D124" s="300"/>
      <c r="E124" s="296"/>
      <c r="F124" s="39"/>
      <c r="G124" s="39"/>
      <c r="H124" s="35" t="s">
        <v>76</v>
      </c>
      <c r="I124" s="35" t="s">
        <v>76</v>
      </c>
    </row>
    <row r="125" spans="1:9" x14ac:dyDescent="0.3">
      <c r="A125" s="299"/>
      <c r="B125" s="300"/>
      <c r="C125" s="77" t="s">
        <v>85</v>
      </c>
      <c r="D125" s="300"/>
      <c r="E125" s="296"/>
      <c r="F125" s="35">
        <f>+F123+F124</f>
        <v>0</v>
      </c>
      <c r="G125" s="35">
        <f t="shared" ref="G125" si="39">+G123+G124</f>
        <v>0</v>
      </c>
      <c r="H125" s="35">
        <f>+G125-F125</f>
        <v>0</v>
      </c>
      <c r="I125" s="47">
        <f>+ROUND(IF(H125&gt;0,H125*E123,0),4)</f>
        <v>0</v>
      </c>
    </row>
    <row r="126" spans="1:9" x14ac:dyDescent="0.3">
      <c r="A126" s="299" t="s">
        <v>104</v>
      </c>
      <c r="B126" s="300" t="s">
        <v>116</v>
      </c>
      <c r="C126" s="77" t="s">
        <v>106</v>
      </c>
      <c r="D126" s="114" t="s">
        <v>107</v>
      </c>
      <c r="E126" s="58"/>
      <c r="F126" s="39"/>
      <c r="G126" s="39"/>
      <c r="H126" s="35">
        <f>+G126-F126</f>
        <v>0</v>
      </c>
      <c r="I126" s="47">
        <f>+ROUND(IF(H126&gt;0,H126*E126,0),4)</f>
        <v>0</v>
      </c>
    </row>
    <row r="127" spans="1:9" x14ac:dyDescent="0.3">
      <c r="A127" s="299"/>
      <c r="B127" s="300"/>
      <c r="C127" s="77" t="s">
        <v>108</v>
      </c>
      <c r="D127" s="114" t="s">
        <v>109</v>
      </c>
      <c r="E127" s="58"/>
      <c r="F127" s="39"/>
      <c r="G127" s="39"/>
      <c r="H127" s="35">
        <f>+G127-F127</f>
        <v>0</v>
      </c>
      <c r="I127" s="47">
        <f>+ROUND(IF(H127&gt;0,H127*E127,0),4)</f>
        <v>0</v>
      </c>
    </row>
    <row r="128" spans="1:9" x14ac:dyDescent="0.3">
      <c r="A128" s="299"/>
      <c r="B128" s="300"/>
      <c r="C128" s="77" t="s">
        <v>82</v>
      </c>
      <c r="D128" s="300" t="s">
        <v>75</v>
      </c>
      <c r="E128" s="296"/>
      <c r="F128" s="39"/>
      <c r="G128" s="39"/>
      <c r="H128" s="35" t="s">
        <v>76</v>
      </c>
      <c r="I128" s="35" t="s">
        <v>76</v>
      </c>
    </row>
    <row r="129" spans="1:11" x14ac:dyDescent="0.3">
      <c r="A129" s="299"/>
      <c r="B129" s="300"/>
      <c r="C129" s="77" t="s">
        <v>77</v>
      </c>
      <c r="D129" s="300"/>
      <c r="E129" s="296"/>
      <c r="F129" s="39"/>
      <c r="G129" s="39"/>
      <c r="H129" s="35" t="s">
        <v>76</v>
      </c>
      <c r="I129" s="35" t="s">
        <v>76</v>
      </c>
    </row>
    <row r="130" spans="1:11" x14ac:dyDescent="0.3">
      <c r="A130" s="299"/>
      <c r="B130" s="300"/>
      <c r="C130" s="77" t="s">
        <v>83</v>
      </c>
      <c r="D130" s="300"/>
      <c r="E130" s="296"/>
      <c r="F130" s="35">
        <f>+F128+F129</f>
        <v>0</v>
      </c>
      <c r="G130" s="35">
        <f t="shared" ref="G130" si="40">+G128+G129</f>
        <v>0</v>
      </c>
      <c r="H130" s="35">
        <f>+G130-F130</f>
        <v>0</v>
      </c>
      <c r="I130" s="47">
        <f>+ROUND(IF(H130&gt;0,H130*E128,0),4)</f>
        <v>0</v>
      </c>
    </row>
    <row r="131" spans="1:11" x14ac:dyDescent="0.3">
      <c r="A131" s="299"/>
      <c r="B131" s="300"/>
      <c r="C131" s="77" t="s">
        <v>84</v>
      </c>
      <c r="D131" s="300" t="s">
        <v>75</v>
      </c>
      <c r="E131" s="296"/>
      <c r="F131" s="39"/>
      <c r="G131" s="39"/>
      <c r="H131" s="35" t="s">
        <v>76</v>
      </c>
      <c r="I131" s="35" t="s">
        <v>76</v>
      </c>
    </row>
    <row r="132" spans="1:11" x14ac:dyDescent="0.3">
      <c r="A132" s="299"/>
      <c r="B132" s="300"/>
      <c r="C132" s="77" t="s">
        <v>77</v>
      </c>
      <c r="D132" s="300"/>
      <c r="E132" s="296"/>
      <c r="F132" s="39"/>
      <c r="G132" s="39"/>
      <c r="H132" s="35" t="s">
        <v>76</v>
      </c>
      <c r="I132" s="35" t="s">
        <v>76</v>
      </c>
    </row>
    <row r="133" spans="1:11" x14ac:dyDescent="0.3">
      <c r="A133" s="299"/>
      <c r="B133" s="300"/>
      <c r="C133" s="77" t="s">
        <v>85</v>
      </c>
      <c r="D133" s="300"/>
      <c r="E133" s="296"/>
      <c r="F133" s="35">
        <f>+F131+F132</f>
        <v>0</v>
      </c>
      <c r="G133" s="35">
        <f t="shared" ref="G133" si="41">+G131+G132</f>
        <v>0</v>
      </c>
      <c r="H133" s="35">
        <f>+G133-F133</f>
        <v>0</v>
      </c>
      <c r="I133" s="47">
        <f>+ROUND(IF(H133&gt;0,H133*E131,0),4)</f>
        <v>0</v>
      </c>
    </row>
    <row r="134" spans="1:11" x14ac:dyDescent="0.3">
      <c r="A134" s="311" t="s">
        <v>104</v>
      </c>
      <c r="B134" s="312" t="s">
        <v>117</v>
      </c>
      <c r="C134" s="78" t="s">
        <v>73</v>
      </c>
      <c r="D134" s="115" t="s">
        <v>118</v>
      </c>
      <c r="E134" s="59"/>
      <c r="F134" s="43"/>
      <c r="G134" s="43"/>
      <c r="H134" s="36">
        <f>+G134-F134</f>
        <v>0</v>
      </c>
      <c r="I134" s="47">
        <f>+ROUND(IF(H134&gt;0,H134*E134,0),4)</f>
        <v>0</v>
      </c>
    </row>
    <row r="135" spans="1:11" x14ac:dyDescent="0.3">
      <c r="A135" s="311" t="s">
        <v>119</v>
      </c>
      <c r="B135" s="312"/>
      <c r="C135" s="78" t="s">
        <v>73</v>
      </c>
      <c r="D135" s="115" t="s">
        <v>120</v>
      </c>
      <c r="E135" s="59"/>
      <c r="F135" s="43"/>
      <c r="G135" s="43"/>
      <c r="H135" s="36">
        <f t="shared" ref="H135" si="42">+G135-F135</f>
        <v>0</v>
      </c>
      <c r="I135" s="47">
        <f t="shared" ref="I135:I137" si="43">+ROUND(IF(H135&gt;0,H135*E135,0),4)</f>
        <v>0</v>
      </c>
    </row>
    <row r="136" spans="1:11" x14ac:dyDescent="0.3">
      <c r="A136" s="299" t="s">
        <v>104</v>
      </c>
      <c r="B136" s="300" t="s">
        <v>121</v>
      </c>
      <c r="C136" s="77" t="s">
        <v>106</v>
      </c>
      <c r="D136" s="114" t="s">
        <v>107</v>
      </c>
      <c r="E136" s="58"/>
      <c r="F136" s="39"/>
      <c r="G136" s="39"/>
      <c r="H136" s="35">
        <f>+G136-F136</f>
        <v>0</v>
      </c>
      <c r="I136" s="47">
        <f t="shared" si="43"/>
        <v>0</v>
      </c>
    </row>
    <row r="137" spans="1:11" x14ac:dyDescent="0.3">
      <c r="A137" s="299"/>
      <c r="B137" s="300"/>
      <c r="C137" s="77" t="s">
        <v>108</v>
      </c>
      <c r="D137" s="114" t="s">
        <v>109</v>
      </c>
      <c r="E137" s="58"/>
      <c r="F137" s="39"/>
      <c r="G137" s="39"/>
      <c r="H137" s="35">
        <f>+G137-F137</f>
        <v>0</v>
      </c>
      <c r="I137" s="47">
        <f t="shared" si="43"/>
        <v>0</v>
      </c>
    </row>
    <row r="138" spans="1:11" x14ac:dyDescent="0.3">
      <c r="A138" s="299"/>
      <c r="B138" s="300"/>
      <c r="C138" s="77" t="s">
        <v>74</v>
      </c>
      <c r="D138" s="300" t="s">
        <v>75</v>
      </c>
      <c r="E138" s="296"/>
      <c r="F138" s="39"/>
      <c r="G138" s="39"/>
      <c r="H138" s="35" t="s">
        <v>76</v>
      </c>
      <c r="I138" s="35" t="s">
        <v>76</v>
      </c>
    </row>
    <row r="139" spans="1:11" x14ac:dyDescent="0.3">
      <c r="A139" s="299"/>
      <c r="B139" s="300"/>
      <c r="C139" s="77" t="s">
        <v>77</v>
      </c>
      <c r="D139" s="300"/>
      <c r="E139" s="296"/>
      <c r="F139" s="39"/>
      <c r="G139" s="39"/>
      <c r="H139" s="35" t="s">
        <v>76</v>
      </c>
      <c r="I139" s="35" t="s">
        <v>76</v>
      </c>
    </row>
    <row r="140" spans="1:11" x14ac:dyDescent="0.3">
      <c r="A140" s="299"/>
      <c r="B140" s="300"/>
      <c r="C140" s="77" t="s">
        <v>78</v>
      </c>
      <c r="D140" s="300"/>
      <c r="E140" s="296"/>
      <c r="F140" s="35">
        <f>+F138+F139</f>
        <v>0</v>
      </c>
      <c r="G140" s="35">
        <f t="shared" ref="G140" si="44">+G138+G139</f>
        <v>0</v>
      </c>
      <c r="H140" s="35">
        <f>+G140-F140</f>
        <v>0</v>
      </c>
      <c r="I140" s="47">
        <f>+ROUND(IF(H140&gt;0,H140*E138,0),4)</f>
        <v>0</v>
      </c>
      <c r="J140" s="44"/>
      <c r="K140" s="44"/>
    </row>
    <row r="141" spans="1:11" s="44" customFormat="1" x14ac:dyDescent="0.3">
      <c r="A141" s="303" t="s">
        <v>104</v>
      </c>
      <c r="B141" s="306" t="s">
        <v>122</v>
      </c>
      <c r="C141" s="77" t="s">
        <v>73</v>
      </c>
      <c r="D141" s="114" t="s">
        <v>118</v>
      </c>
      <c r="E141" s="58"/>
      <c r="F141" s="39"/>
      <c r="G141" s="39"/>
      <c r="H141" s="35">
        <f>+G141-F141</f>
        <v>0</v>
      </c>
      <c r="I141" s="47">
        <f>+ROUND(IF(H141&gt;0,H141*E141,0),4)</f>
        <v>0</v>
      </c>
    </row>
    <row r="142" spans="1:11" s="44" customFormat="1" x14ac:dyDescent="0.3">
      <c r="A142" s="304"/>
      <c r="B142" s="307"/>
      <c r="C142" s="77" t="s">
        <v>106</v>
      </c>
      <c r="D142" s="114" t="s">
        <v>107</v>
      </c>
      <c r="E142" s="58"/>
      <c r="F142" s="39"/>
      <c r="G142" s="39"/>
      <c r="H142" s="35">
        <f>+G142-F142</f>
        <v>0</v>
      </c>
      <c r="I142" s="47">
        <f>+ROUND(IF(H142&gt;0,H142*E142,0),4)</f>
        <v>0</v>
      </c>
    </row>
    <row r="143" spans="1:11" s="44" customFormat="1" x14ac:dyDescent="0.3">
      <c r="A143" s="304"/>
      <c r="B143" s="307"/>
      <c r="C143" s="77" t="s">
        <v>108</v>
      </c>
      <c r="D143" s="116" t="s">
        <v>109</v>
      </c>
      <c r="E143" s="58"/>
      <c r="F143" s="39"/>
      <c r="G143" s="39"/>
      <c r="H143" s="35">
        <f>+G143-F143</f>
        <v>0</v>
      </c>
      <c r="I143" s="47">
        <f>+ROUND(IF(H143&gt;0,H143*E143,0),4)</f>
        <v>0</v>
      </c>
      <c r="J143" s="40"/>
      <c r="K143" s="40"/>
    </row>
    <row r="144" spans="1:11" ht="14.4" customHeight="1" x14ac:dyDescent="0.3">
      <c r="A144" s="304"/>
      <c r="B144" s="307"/>
      <c r="C144" s="77" t="s">
        <v>74</v>
      </c>
      <c r="D144" s="300" t="s">
        <v>75</v>
      </c>
      <c r="E144" s="296"/>
      <c r="F144" s="39"/>
      <c r="G144" s="39"/>
      <c r="H144" s="35" t="s">
        <v>76</v>
      </c>
      <c r="I144" s="35" t="s">
        <v>76</v>
      </c>
    </row>
    <row r="145" spans="1:9" x14ac:dyDescent="0.3">
      <c r="A145" s="304"/>
      <c r="B145" s="307"/>
      <c r="C145" s="77" t="s">
        <v>77</v>
      </c>
      <c r="D145" s="300"/>
      <c r="E145" s="296"/>
      <c r="F145" s="39"/>
      <c r="G145" s="39"/>
      <c r="H145" s="35" t="s">
        <v>76</v>
      </c>
      <c r="I145" s="35" t="s">
        <v>76</v>
      </c>
    </row>
    <row r="146" spans="1:9" x14ac:dyDescent="0.3">
      <c r="A146" s="305"/>
      <c r="B146" s="308"/>
      <c r="C146" s="77" t="s">
        <v>78</v>
      </c>
      <c r="D146" s="300"/>
      <c r="E146" s="296"/>
      <c r="F146" s="35">
        <f>+F144+F145</f>
        <v>0</v>
      </c>
      <c r="G146" s="35">
        <f>+G144+G145</f>
        <v>0</v>
      </c>
      <c r="H146" s="35">
        <f>+G146-F146</f>
        <v>0</v>
      </c>
      <c r="I146" s="47">
        <f>+ROUND(IF(H146&gt;0,H146*E144,0),4)</f>
        <v>0</v>
      </c>
    </row>
    <row r="147" spans="1:9" x14ac:dyDescent="0.3">
      <c r="A147" s="299" t="s">
        <v>104</v>
      </c>
      <c r="B147" s="300" t="s">
        <v>123</v>
      </c>
      <c r="C147" s="77" t="s">
        <v>106</v>
      </c>
      <c r="D147" s="114" t="s">
        <v>107</v>
      </c>
      <c r="E147" s="58"/>
      <c r="F147" s="39"/>
      <c r="G147" s="39"/>
      <c r="H147" s="35">
        <f>+G147-F147</f>
        <v>0</v>
      </c>
      <c r="I147" s="47">
        <f t="shared" ref="I147" si="45">+ROUND(IF(H147&gt;0,H147*E147,0),4)</f>
        <v>0</v>
      </c>
    </row>
    <row r="148" spans="1:9" x14ac:dyDescent="0.3">
      <c r="A148" s="299"/>
      <c r="B148" s="300"/>
      <c r="C148" s="77" t="s">
        <v>108</v>
      </c>
      <c r="D148" s="114" t="s">
        <v>109</v>
      </c>
      <c r="E148" s="58"/>
      <c r="F148" s="39"/>
      <c r="G148" s="39"/>
      <c r="H148" s="35">
        <f>+G148-F148</f>
        <v>0</v>
      </c>
      <c r="I148" s="47">
        <f>+ROUND(IF(H148&gt;0,H148*E148,0),4)</f>
        <v>0</v>
      </c>
    </row>
    <row r="149" spans="1:9" x14ac:dyDescent="0.3">
      <c r="A149" s="299"/>
      <c r="B149" s="300"/>
      <c r="C149" s="77" t="s">
        <v>82</v>
      </c>
      <c r="D149" s="300" t="s">
        <v>75</v>
      </c>
      <c r="E149" s="296"/>
      <c r="F149" s="39"/>
      <c r="G149" s="39"/>
      <c r="H149" s="35" t="s">
        <v>76</v>
      </c>
      <c r="I149" s="35" t="s">
        <v>76</v>
      </c>
    </row>
    <row r="150" spans="1:9" x14ac:dyDescent="0.3">
      <c r="A150" s="299"/>
      <c r="B150" s="300"/>
      <c r="C150" s="77" t="s">
        <v>77</v>
      </c>
      <c r="D150" s="300"/>
      <c r="E150" s="296"/>
      <c r="F150" s="39"/>
      <c r="G150" s="39"/>
      <c r="H150" s="35" t="s">
        <v>76</v>
      </c>
      <c r="I150" s="35" t="s">
        <v>76</v>
      </c>
    </row>
    <row r="151" spans="1:9" x14ac:dyDescent="0.3">
      <c r="A151" s="299"/>
      <c r="B151" s="300"/>
      <c r="C151" s="77" t="s">
        <v>83</v>
      </c>
      <c r="D151" s="300"/>
      <c r="E151" s="296"/>
      <c r="F151" s="35">
        <f>+F149+F150</f>
        <v>0</v>
      </c>
      <c r="G151" s="35">
        <f t="shared" ref="G151" si="46">+G149+G150</f>
        <v>0</v>
      </c>
      <c r="H151" s="35">
        <f>+G151-F151</f>
        <v>0</v>
      </c>
      <c r="I151" s="47">
        <f>+ROUND(IF(H151&gt;0,H151*E149,0),4)</f>
        <v>0</v>
      </c>
    </row>
    <row r="152" spans="1:9" x14ac:dyDescent="0.3">
      <c r="A152" s="299"/>
      <c r="B152" s="300"/>
      <c r="C152" s="77" t="s">
        <v>84</v>
      </c>
      <c r="D152" s="300" t="s">
        <v>75</v>
      </c>
      <c r="E152" s="296"/>
      <c r="F152" s="39"/>
      <c r="G152" s="39"/>
      <c r="H152" s="35" t="s">
        <v>76</v>
      </c>
      <c r="I152" s="35" t="s">
        <v>76</v>
      </c>
    </row>
    <row r="153" spans="1:9" x14ac:dyDescent="0.3">
      <c r="A153" s="299"/>
      <c r="B153" s="300"/>
      <c r="C153" s="77" t="s">
        <v>77</v>
      </c>
      <c r="D153" s="300"/>
      <c r="E153" s="296"/>
      <c r="F153" s="39"/>
      <c r="G153" s="39"/>
      <c r="H153" s="35" t="s">
        <v>76</v>
      </c>
      <c r="I153" s="35" t="s">
        <v>76</v>
      </c>
    </row>
    <row r="154" spans="1:9" x14ac:dyDescent="0.3">
      <c r="A154" s="299"/>
      <c r="B154" s="300"/>
      <c r="C154" s="77" t="s">
        <v>85</v>
      </c>
      <c r="D154" s="300"/>
      <c r="E154" s="296"/>
      <c r="F154" s="35">
        <f>+F152+F153</f>
        <v>0</v>
      </c>
      <c r="G154" s="35">
        <f t="shared" ref="G154" si="47">+G152+G153</f>
        <v>0</v>
      </c>
      <c r="H154" s="35">
        <f>+G154-F154</f>
        <v>0</v>
      </c>
      <c r="I154" s="47">
        <f>+ROUND(IF(H154&gt;0,H154*E152,0),4)</f>
        <v>0</v>
      </c>
    </row>
    <row r="155" spans="1:9" x14ac:dyDescent="0.3">
      <c r="A155" s="299" t="s">
        <v>104</v>
      </c>
      <c r="B155" s="300" t="s">
        <v>124</v>
      </c>
      <c r="C155" s="77" t="s">
        <v>106</v>
      </c>
      <c r="D155" s="114" t="s">
        <v>107</v>
      </c>
      <c r="E155" s="58"/>
      <c r="F155" s="39"/>
      <c r="G155" s="39"/>
      <c r="H155" s="35">
        <f>+G155-F155</f>
        <v>0</v>
      </c>
      <c r="I155" s="47">
        <f t="shared" ref="I155:I156" si="48">+ROUND(IF(H155&gt;0,H155*E155,0),4)</f>
        <v>0</v>
      </c>
    </row>
    <row r="156" spans="1:9" x14ac:dyDescent="0.3">
      <c r="A156" s="299"/>
      <c r="B156" s="300"/>
      <c r="C156" s="77" t="s">
        <v>108</v>
      </c>
      <c r="D156" s="114" t="s">
        <v>109</v>
      </c>
      <c r="E156" s="58"/>
      <c r="F156" s="39"/>
      <c r="G156" s="39"/>
      <c r="H156" s="35">
        <f>+G156-F156</f>
        <v>0</v>
      </c>
      <c r="I156" s="47">
        <f t="shared" si="48"/>
        <v>0</v>
      </c>
    </row>
    <row r="157" spans="1:9" x14ac:dyDescent="0.3">
      <c r="A157" s="299"/>
      <c r="B157" s="300"/>
      <c r="C157" s="77" t="s">
        <v>94</v>
      </c>
      <c r="D157" s="300" t="s">
        <v>75</v>
      </c>
      <c r="E157" s="296"/>
      <c r="F157" s="39"/>
      <c r="G157" s="39"/>
      <c r="H157" s="35" t="s">
        <v>76</v>
      </c>
      <c r="I157" s="35" t="s">
        <v>76</v>
      </c>
    </row>
    <row r="158" spans="1:9" x14ac:dyDescent="0.3">
      <c r="A158" s="299"/>
      <c r="B158" s="300"/>
      <c r="C158" s="77" t="s">
        <v>77</v>
      </c>
      <c r="D158" s="300"/>
      <c r="E158" s="296"/>
      <c r="F158" s="39"/>
      <c r="G158" s="39"/>
      <c r="H158" s="35" t="s">
        <v>76</v>
      </c>
      <c r="I158" s="35" t="s">
        <v>76</v>
      </c>
    </row>
    <row r="159" spans="1:9" x14ac:dyDescent="0.3">
      <c r="A159" s="299"/>
      <c r="B159" s="300"/>
      <c r="C159" s="77" t="s">
        <v>95</v>
      </c>
      <c r="D159" s="300"/>
      <c r="E159" s="296"/>
      <c r="F159" s="35">
        <f>+F157+F158</f>
        <v>0</v>
      </c>
      <c r="G159" s="35">
        <f t="shared" ref="G159" si="49">+G157+G158</f>
        <v>0</v>
      </c>
      <c r="H159" s="35">
        <f>+G159-F159</f>
        <v>0</v>
      </c>
      <c r="I159" s="47">
        <f>+ROUND(IF(H159&gt;0,H159*E157,0),4)</f>
        <v>0</v>
      </c>
    </row>
    <row r="160" spans="1:9" x14ac:dyDescent="0.3">
      <c r="A160" s="299"/>
      <c r="B160" s="300"/>
      <c r="C160" s="77" t="s">
        <v>82</v>
      </c>
      <c r="D160" s="300" t="s">
        <v>75</v>
      </c>
      <c r="E160" s="296"/>
      <c r="F160" s="39"/>
      <c r="G160" s="39"/>
      <c r="H160" s="35" t="s">
        <v>76</v>
      </c>
      <c r="I160" s="35" t="s">
        <v>76</v>
      </c>
    </row>
    <row r="161" spans="1:18" x14ac:dyDescent="0.3">
      <c r="A161" s="299"/>
      <c r="B161" s="300"/>
      <c r="C161" s="77" t="s">
        <v>77</v>
      </c>
      <c r="D161" s="300"/>
      <c r="E161" s="296"/>
      <c r="F161" s="39"/>
      <c r="G161" s="39"/>
      <c r="H161" s="35" t="s">
        <v>76</v>
      </c>
      <c r="I161" s="35" t="s">
        <v>76</v>
      </c>
    </row>
    <row r="162" spans="1:18" x14ac:dyDescent="0.3">
      <c r="A162" s="299"/>
      <c r="B162" s="300"/>
      <c r="C162" s="77" t="s">
        <v>83</v>
      </c>
      <c r="D162" s="300"/>
      <c r="E162" s="296"/>
      <c r="F162" s="35">
        <f>+F160+F161</f>
        <v>0</v>
      </c>
      <c r="G162" s="35">
        <f t="shared" ref="G162" si="50">+G160+G161</f>
        <v>0</v>
      </c>
      <c r="H162" s="35">
        <f>+G162-F162</f>
        <v>0</v>
      </c>
      <c r="I162" s="47">
        <f>+ROUND(IF(H162&gt;0,H162*E160,0),4)</f>
        <v>0</v>
      </c>
    </row>
    <row r="163" spans="1:18" x14ac:dyDescent="0.3">
      <c r="A163" s="299"/>
      <c r="B163" s="300"/>
      <c r="C163" s="77" t="s">
        <v>84</v>
      </c>
      <c r="D163" s="300" t="s">
        <v>75</v>
      </c>
      <c r="E163" s="296"/>
      <c r="F163" s="39"/>
      <c r="G163" s="39"/>
      <c r="H163" s="35" t="s">
        <v>76</v>
      </c>
      <c r="I163" s="35" t="s">
        <v>76</v>
      </c>
    </row>
    <row r="164" spans="1:18" x14ac:dyDescent="0.3">
      <c r="A164" s="299"/>
      <c r="B164" s="300"/>
      <c r="C164" s="77" t="s">
        <v>77</v>
      </c>
      <c r="D164" s="300"/>
      <c r="E164" s="296"/>
      <c r="F164" s="39"/>
      <c r="G164" s="39"/>
      <c r="H164" s="35" t="s">
        <v>76</v>
      </c>
      <c r="I164" s="35" t="s">
        <v>76</v>
      </c>
    </row>
    <row r="165" spans="1:18" x14ac:dyDescent="0.3">
      <c r="A165" s="299"/>
      <c r="B165" s="300"/>
      <c r="C165" s="77" t="s">
        <v>85</v>
      </c>
      <c r="D165" s="300"/>
      <c r="E165" s="296"/>
      <c r="F165" s="35">
        <f>+F163+F164</f>
        <v>0</v>
      </c>
      <c r="G165" s="35">
        <f t="shared" ref="G165" si="51">+G163+G164</f>
        <v>0</v>
      </c>
      <c r="H165" s="35">
        <f>+G165-F165</f>
        <v>0</v>
      </c>
      <c r="I165" s="47">
        <f>+ROUND(IF(H165&gt;0,H165*E163,0),4)</f>
        <v>0</v>
      </c>
    </row>
    <row r="166" spans="1:18" x14ac:dyDescent="0.3">
      <c r="A166" s="299"/>
      <c r="B166" s="300"/>
      <c r="C166" s="77" t="s">
        <v>96</v>
      </c>
      <c r="D166" s="300" t="s">
        <v>75</v>
      </c>
      <c r="E166" s="296"/>
      <c r="F166" s="39"/>
      <c r="G166" s="39"/>
      <c r="H166" s="35" t="s">
        <v>76</v>
      </c>
      <c r="I166" s="35" t="s">
        <v>76</v>
      </c>
    </row>
    <row r="167" spans="1:18" x14ac:dyDescent="0.3">
      <c r="A167" s="299"/>
      <c r="B167" s="300"/>
      <c r="C167" s="77" t="s">
        <v>77</v>
      </c>
      <c r="D167" s="300"/>
      <c r="E167" s="296"/>
      <c r="F167" s="39"/>
      <c r="G167" s="39"/>
      <c r="H167" s="35" t="s">
        <v>76</v>
      </c>
      <c r="I167" s="35" t="s">
        <v>76</v>
      </c>
    </row>
    <row r="168" spans="1:18" ht="28.8" x14ac:dyDescent="0.3">
      <c r="A168" s="299"/>
      <c r="B168" s="300"/>
      <c r="C168" s="77" t="s">
        <v>97</v>
      </c>
      <c r="D168" s="300"/>
      <c r="E168" s="296"/>
      <c r="F168" s="35">
        <f>+F166+F167</f>
        <v>0</v>
      </c>
      <c r="G168" s="35">
        <f t="shared" ref="G168" si="52">+G166+G167</f>
        <v>0</v>
      </c>
      <c r="H168" s="35">
        <f>+G168-F168</f>
        <v>0</v>
      </c>
      <c r="I168" s="47">
        <f>+ROUND(IF(H168&gt;0,H168*E166,0),4)</f>
        <v>0</v>
      </c>
      <c r="J168" s="120" t="s">
        <v>174</v>
      </c>
    </row>
    <row r="169" spans="1:18" x14ac:dyDescent="0.3">
      <c r="A169" s="314" t="s">
        <v>104</v>
      </c>
      <c r="B169" s="315" t="s">
        <v>103</v>
      </c>
      <c r="C169" s="103" t="s">
        <v>73</v>
      </c>
      <c r="D169" s="111" t="s">
        <v>76</v>
      </c>
      <c r="E169" s="49"/>
      <c r="F169" s="49" t="s">
        <v>76</v>
      </c>
      <c r="G169" s="49" t="s">
        <v>76</v>
      </c>
      <c r="H169" s="49" t="s">
        <v>76</v>
      </c>
      <c r="I169" s="49">
        <f>N169</f>
        <v>0</v>
      </c>
      <c r="J169" s="134">
        <f>IFERROR(ROUND(P169,6),0)</f>
        <v>0</v>
      </c>
      <c r="N169" s="132">
        <f>ROUND(SUM(I79:I80,I84:I85,I89:I90,I94:I95,I102:I103,I110:I111,I118:I119,I126:I127,I134:I137,I147:I148,I155:I156,I141:I143),6)</f>
        <v>0</v>
      </c>
      <c r="O169" s="132">
        <f>ROUND(SUM(E81,E86,E91,E96,E99,E104,E107,E112,E115,E120,E123,E128,E131,E138,E144,E149,E152,E157,E160,E163,E166),3)</f>
        <v>0</v>
      </c>
      <c r="P169" s="132">
        <f>IFERROR(ROUND((N169+N170)/O169,6),0)</f>
        <v>0</v>
      </c>
      <c r="Q169" s="141" t="s">
        <v>100</v>
      </c>
      <c r="R169" s="141" t="s">
        <v>102</v>
      </c>
    </row>
    <row r="170" spans="1:18" x14ac:dyDescent="0.3">
      <c r="A170" s="314"/>
      <c r="B170" s="315"/>
      <c r="C170" s="103" t="s">
        <v>78</v>
      </c>
      <c r="D170" s="84" t="s">
        <v>75</v>
      </c>
      <c r="E170" s="131">
        <f>O169</f>
        <v>0</v>
      </c>
      <c r="F170" s="49" t="s">
        <v>76</v>
      </c>
      <c r="G170" s="49" t="s">
        <v>76</v>
      </c>
      <c r="H170" s="49" t="s">
        <v>76</v>
      </c>
      <c r="I170" s="49">
        <f>N170</f>
        <v>0</v>
      </c>
      <c r="N170" s="132">
        <f>ROUND(SUM(I83,I88,I93,I98,I101,I106,I109,I114,I117,I122,I125,I130,I133,I140,I146,I151,I154,I159,I162,I165,I168),6)</f>
        <v>0</v>
      </c>
      <c r="O170" s="40">
        <f>IFERROR(P169*O169,0)</f>
        <v>0</v>
      </c>
      <c r="P170" s="40">
        <f>ROUND(O170*1.2,2)</f>
        <v>0</v>
      </c>
      <c r="Q170" s="132">
        <f>(P169*O169)</f>
        <v>0</v>
      </c>
      <c r="R170" s="40">
        <f>ROUND(Q170*1.2,2)</f>
        <v>0</v>
      </c>
    </row>
    <row r="171" spans="1:18" x14ac:dyDescent="0.3">
      <c r="A171" s="300" t="s">
        <v>119</v>
      </c>
      <c r="B171" s="300" t="s">
        <v>126</v>
      </c>
      <c r="C171" s="79" t="s">
        <v>127</v>
      </c>
      <c r="D171" s="67"/>
      <c r="E171" s="58"/>
      <c r="F171" s="58"/>
      <c r="G171" s="58"/>
      <c r="H171" s="35">
        <f t="shared" ref="H171:H180" si="53">+G171-F171</f>
        <v>0</v>
      </c>
      <c r="I171" s="47">
        <f>+ROUND(IF(H171&gt;0,H171*E171,0),4)</f>
        <v>0</v>
      </c>
    </row>
    <row r="172" spans="1:18" x14ac:dyDescent="0.3">
      <c r="A172" s="300"/>
      <c r="B172" s="300"/>
      <c r="C172" s="79" t="s">
        <v>128</v>
      </c>
      <c r="D172" s="67"/>
      <c r="E172" s="58"/>
      <c r="F172" s="58"/>
      <c r="G172" s="58"/>
      <c r="H172" s="35">
        <f t="shared" si="53"/>
        <v>0</v>
      </c>
      <c r="I172" s="47">
        <f t="shared" ref="I172:I180" si="54">+ROUND(IF(H172&gt;0,H172*E172,0),4)</f>
        <v>0</v>
      </c>
    </row>
    <row r="173" spans="1:18" x14ac:dyDescent="0.3">
      <c r="A173" s="300"/>
      <c r="B173" s="300"/>
      <c r="C173" s="79" t="s">
        <v>129</v>
      </c>
      <c r="D173" s="67"/>
      <c r="E173" s="58"/>
      <c r="F173" s="58"/>
      <c r="G173" s="58"/>
      <c r="H173" s="35">
        <f t="shared" si="53"/>
        <v>0</v>
      </c>
      <c r="I173" s="47">
        <f t="shared" si="54"/>
        <v>0</v>
      </c>
    </row>
    <row r="174" spans="1:18" x14ac:dyDescent="0.3">
      <c r="A174" s="300"/>
      <c r="B174" s="300"/>
      <c r="C174" s="80" t="s">
        <v>131</v>
      </c>
      <c r="D174" s="67"/>
      <c r="E174" s="58"/>
      <c r="F174" s="58"/>
      <c r="G174" s="58"/>
      <c r="H174" s="35">
        <f t="shared" si="53"/>
        <v>0</v>
      </c>
      <c r="I174" s="47">
        <f t="shared" si="54"/>
        <v>0</v>
      </c>
    </row>
    <row r="175" spans="1:18" x14ac:dyDescent="0.3">
      <c r="A175" s="300"/>
      <c r="B175" s="300"/>
      <c r="C175" s="79" t="s">
        <v>132</v>
      </c>
      <c r="D175" s="114"/>
      <c r="E175" s="58"/>
      <c r="F175" s="39"/>
      <c r="G175" s="39"/>
      <c r="H175" s="35">
        <f t="shared" si="53"/>
        <v>0</v>
      </c>
      <c r="I175" s="47">
        <f t="shared" si="54"/>
        <v>0</v>
      </c>
    </row>
    <row r="176" spans="1:18" x14ac:dyDescent="0.3">
      <c r="A176" s="300"/>
      <c r="B176" s="300"/>
      <c r="C176" s="79" t="s">
        <v>133</v>
      </c>
      <c r="D176" s="114"/>
      <c r="E176" s="58"/>
      <c r="F176" s="39"/>
      <c r="G176" s="39"/>
      <c r="H176" s="35">
        <f t="shared" si="53"/>
        <v>0</v>
      </c>
      <c r="I176" s="47">
        <f t="shared" si="54"/>
        <v>0</v>
      </c>
    </row>
    <row r="177" spans="1:9" ht="22.5" customHeight="1" x14ac:dyDescent="0.3">
      <c r="A177" s="300"/>
      <c r="B177" s="300"/>
      <c r="C177" s="79" t="s">
        <v>134</v>
      </c>
      <c r="D177" s="114"/>
      <c r="E177" s="58"/>
      <c r="F177" s="39"/>
      <c r="G177" s="39"/>
      <c r="H177" s="35">
        <f t="shared" si="53"/>
        <v>0</v>
      </c>
      <c r="I177" s="47">
        <f t="shared" si="54"/>
        <v>0</v>
      </c>
    </row>
    <row r="178" spans="1:9" x14ac:dyDescent="0.3">
      <c r="A178" s="300"/>
      <c r="B178" s="300"/>
      <c r="C178" s="79" t="s">
        <v>135</v>
      </c>
      <c r="D178" s="114"/>
      <c r="E178" s="58"/>
      <c r="F178" s="39"/>
      <c r="G178" s="39"/>
      <c r="H178" s="35">
        <f t="shared" si="53"/>
        <v>0</v>
      </c>
      <c r="I178" s="47">
        <f t="shared" si="54"/>
        <v>0</v>
      </c>
    </row>
    <row r="179" spans="1:9" x14ac:dyDescent="0.3">
      <c r="A179" s="300"/>
      <c r="B179" s="300"/>
      <c r="C179" s="79" t="s">
        <v>136</v>
      </c>
      <c r="D179" s="114"/>
      <c r="E179" s="58"/>
      <c r="F179" s="39"/>
      <c r="G179" s="39"/>
      <c r="H179" s="35">
        <f t="shared" si="53"/>
        <v>0</v>
      </c>
      <c r="I179" s="47">
        <f t="shared" si="54"/>
        <v>0</v>
      </c>
    </row>
    <row r="180" spans="1:9" x14ac:dyDescent="0.3">
      <c r="A180" s="300"/>
      <c r="B180" s="300"/>
      <c r="C180" s="79" t="s">
        <v>137</v>
      </c>
      <c r="D180" s="114"/>
      <c r="E180" s="58"/>
      <c r="F180" s="39"/>
      <c r="G180" s="39"/>
      <c r="H180" s="35">
        <f t="shared" si="53"/>
        <v>0</v>
      </c>
      <c r="I180" s="47">
        <f t="shared" si="54"/>
        <v>0</v>
      </c>
    </row>
    <row r="181" spans="1:9" x14ac:dyDescent="0.3">
      <c r="A181" s="300"/>
      <c r="B181" s="300"/>
      <c r="C181" s="79" t="s">
        <v>74</v>
      </c>
      <c r="D181" s="300" t="s">
        <v>75</v>
      </c>
      <c r="E181" s="296"/>
      <c r="F181" s="39"/>
      <c r="G181" s="39"/>
      <c r="H181" s="35" t="s">
        <v>76</v>
      </c>
      <c r="I181" s="35" t="s">
        <v>76</v>
      </c>
    </row>
    <row r="182" spans="1:9" x14ac:dyDescent="0.3">
      <c r="A182" s="300"/>
      <c r="B182" s="300"/>
      <c r="C182" s="79" t="s">
        <v>77</v>
      </c>
      <c r="D182" s="300"/>
      <c r="E182" s="296"/>
      <c r="F182" s="39"/>
      <c r="G182" s="39"/>
      <c r="H182" s="35" t="s">
        <v>76</v>
      </c>
      <c r="I182" s="35" t="s">
        <v>76</v>
      </c>
    </row>
    <row r="183" spans="1:9" x14ac:dyDescent="0.3">
      <c r="A183" s="300"/>
      <c r="B183" s="300"/>
      <c r="C183" s="79" t="s">
        <v>78</v>
      </c>
      <c r="D183" s="300"/>
      <c r="E183" s="296"/>
      <c r="F183" s="35">
        <f>+F181+F182</f>
        <v>0</v>
      </c>
      <c r="G183" s="35">
        <f t="shared" ref="G183" si="55">+G181+G182</f>
        <v>0</v>
      </c>
      <c r="H183" s="35">
        <f>+G183-F183</f>
        <v>0</v>
      </c>
      <c r="I183" s="47">
        <f>+ROUND(IF(H183&gt;0,H183*E181,0),4)</f>
        <v>0</v>
      </c>
    </row>
    <row r="184" spans="1:9" x14ac:dyDescent="0.3">
      <c r="A184" s="300"/>
      <c r="B184" s="300"/>
      <c r="C184" s="79" t="s">
        <v>138</v>
      </c>
      <c r="D184" s="300" t="s">
        <v>75</v>
      </c>
      <c r="E184" s="296"/>
      <c r="F184" s="39"/>
      <c r="G184" s="39"/>
      <c r="H184" s="35" t="s">
        <v>76</v>
      </c>
      <c r="I184" s="35" t="s">
        <v>76</v>
      </c>
    </row>
    <row r="185" spans="1:9" x14ac:dyDescent="0.3">
      <c r="A185" s="300"/>
      <c r="B185" s="300"/>
      <c r="C185" s="79" t="s">
        <v>77</v>
      </c>
      <c r="D185" s="300"/>
      <c r="E185" s="296"/>
      <c r="F185" s="39"/>
      <c r="G185" s="39"/>
      <c r="H185" s="35" t="s">
        <v>76</v>
      </c>
      <c r="I185" s="35" t="s">
        <v>76</v>
      </c>
    </row>
    <row r="186" spans="1:9" x14ac:dyDescent="0.3">
      <c r="A186" s="300"/>
      <c r="B186" s="300"/>
      <c r="C186" s="79" t="s">
        <v>139</v>
      </c>
      <c r="D186" s="300"/>
      <c r="E186" s="296"/>
      <c r="F186" s="35">
        <f>+F184+F185</f>
        <v>0</v>
      </c>
      <c r="G186" s="35">
        <f t="shared" ref="G186" si="56">+G184+G185</f>
        <v>0</v>
      </c>
      <c r="H186" s="35">
        <f>+G186-F186</f>
        <v>0</v>
      </c>
      <c r="I186" s="47">
        <f>+ROUND(IF(H186&gt;0,H186*E184,0),4)</f>
        <v>0</v>
      </c>
    </row>
    <row r="187" spans="1:9" x14ac:dyDescent="0.3">
      <c r="A187" s="300"/>
      <c r="B187" s="300"/>
      <c r="C187" s="79" t="s">
        <v>140</v>
      </c>
      <c r="D187" s="300" t="s">
        <v>75</v>
      </c>
      <c r="E187" s="296"/>
      <c r="F187" s="39"/>
      <c r="G187" s="39"/>
      <c r="H187" s="35" t="s">
        <v>76</v>
      </c>
      <c r="I187" s="35" t="s">
        <v>76</v>
      </c>
    </row>
    <row r="188" spans="1:9" x14ac:dyDescent="0.3">
      <c r="A188" s="300"/>
      <c r="B188" s="300"/>
      <c r="C188" s="79" t="s">
        <v>77</v>
      </c>
      <c r="D188" s="300"/>
      <c r="E188" s="296"/>
      <c r="F188" s="39"/>
      <c r="G188" s="39"/>
      <c r="H188" s="35" t="s">
        <v>76</v>
      </c>
      <c r="I188" s="35" t="s">
        <v>76</v>
      </c>
    </row>
    <row r="189" spans="1:9" x14ac:dyDescent="0.3">
      <c r="A189" s="300"/>
      <c r="B189" s="300"/>
      <c r="C189" s="79" t="s">
        <v>141</v>
      </c>
      <c r="D189" s="300"/>
      <c r="E189" s="296"/>
      <c r="F189" s="35">
        <f>+F187+F188</f>
        <v>0</v>
      </c>
      <c r="G189" s="35">
        <f t="shared" ref="G189" si="57">+G187+G188</f>
        <v>0</v>
      </c>
      <c r="H189" s="35">
        <f>+G189-F189</f>
        <v>0</v>
      </c>
      <c r="I189" s="47">
        <f>+ROUND(IF(H189&gt;0,H189*E187,0),4)</f>
        <v>0</v>
      </c>
    </row>
    <row r="190" spans="1:9" x14ac:dyDescent="0.3">
      <c r="A190" s="299" t="s">
        <v>119</v>
      </c>
      <c r="B190" s="300" t="s">
        <v>142</v>
      </c>
      <c r="C190" s="77" t="s">
        <v>73</v>
      </c>
      <c r="D190" s="114"/>
      <c r="E190" s="58"/>
      <c r="F190" s="39"/>
      <c r="G190" s="39"/>
      <c r="H190" s="35">
        <f>+G190-F190</f>
        <v>0</v>
      </c>
      <c r="I190" s="47">
        <f>+ROUND(IF(H190&gt;0,H190*E190,0),4)</f>
        <v>0</v>
      </c>
    </row>
    <row r="191" spans="1:9" x14ac:dyDescent="0.3">
      <c r="A191" s="299"/>
      <c r="B191" s="300"/>
      <c r="C191" s="77" t="s">
        <v>74</v>
      </c>
      <c r="D191" s="300" t="s">
        <v>75</v>
      </c>
      <c r="E191" s="296"/>
      <c r="F191" s="39"/>
      <c r="G191" s="39"/>
      <c r="H191" s="35" t="s">
        <v>76</v>
      </c>
      <c r="I191" s="35" t="s">
        <v>76</v>
      </c>
    </row>
    <row r="192" spans="1:9" x14ac:dyDescent="0.3">
      <c r="A192" s="299"/>
      <c r="B192" s="300"/>
      <c r="C192" s="77" t="s">
        <v>77</v>
      </c>
      <c r="D192" s="300"/>
      <c r="E192" s="296"/>
      <c r="F192" s="39"/>
      <c r="G192" s="39"/>
      <c r="H192" s="35" t="s">
        <v>76</v>
      </c>
      <c r="I192" s="35" t="s">
        <v>76</v>
      </c>
    </row>
    <row r="193" spans="1:19" x14ac:dyDescent="0.3">
      <c r="A193" s="299"/>
      <c r="B193" s="300"/>
      <c r="C193" s="77" t="s">
        <v>78</v>
      </c>
      <c r="D193" s="300"/>
      <c r="E193" s="296"/>
      <c r="F193" s="35">
        <f>+F191+F192</f>
        <v>0</v>
      </c>
      <c r="G193" s="35">
        <f t="shared" ref="G193" si="58">+G191+G192</f>
        <v>0</v>
      </c>
      <c r="H193" s="35">
        <f>+G193-F193</f>
        <v>0</v>
      </c>
      <c r="I193" s="47">
        <f>+ROUND(IF(H193&gt;0,H193*E191,0),4)</f>
        <v>0</v>
      </c>
    </row>
    <row r="194" spans="1:19" x14ac:dyDescent="0.3">
      <c r="A194" s="311" t="s">
        <v>119</v>
      </c>
      <c r="B194" s="312" t="s">
        <v>143</v>
      </c>
      <c r="C194" s="78" t="s">
        <v>144</v>
      </c>
      <c r="D194" s="115"/>
      <c r="E194" s="59"/>
      <c r="F194" s="43"/>
      <c r="G194" s="43"/>
      <c r="H194" s="36">
        <f>+G194-F194</f>
        <v>0</v>
      </c>
      <c r="I194" s="48">
        <f>ROUND(IF(H194&gt;0,H194*E194,0),4)</f>
        <v>0</v>
      </c>
    </row>
    <row r="195" spans="1:19" x14ac:dyDescent="0.3">
      <c r="A195" s="311"/>
      <c r="B195" s="312"/>
      <c r="C195" s="78" t="s">
        <v>74</v>
      </c>
      <c r="D195" s="300" t="s">
        <v>75</v>
      </c>
      <c r="E195" s="313"/>
      <c r="F195" s="43"/>
      <c r="G195" s="43"/>
      <c r="H195" s="36" t="s">
        <v>76</v>
      </c>
      <c r="I195" s="36" t="s">
        <v>76</v>
      </c>
    </row>
    <row r="196" spans="1:19" x14ac:dyDescent="0.3">
      <c r="A196" s="311"/>
      <c r="B196" s="312"/>
      <c r="C196" s="78" t="s">
        <v>77</v>
      </c>
      <c r="D196" s="300"/>
      <c r="E196" s="313"/>
      <c r="F196" s="43"/>
      <c r="G196" s="43"/>
      <c r="H196" s="36" t="s">
        <v>76</v>
      </c>
      <c r="I196" s="36" t="s">
        <v>76</v>
      </c>
    </row>
    <row r="197" spans="1:19" x14ac:dyDescent="0.3">
      <c r="A197" s="311"/>
      <c r="B197" s="312"/>
      <c r="C197" s="78" t="s">
        <v>78</v>
      </c>
      <c r="D197" s="300"/>
      <c r="E197" s="313"/>
      <c r="F197" s="36">
        <f>+F195+F196</f>
        <v>0</v>
      </c>
      <c r="G197" s="36">
        <f t="shared" ref="G197" si="59">+G195+G196</f>
        <v>0</v>
      </c>
      <c r="H197" s="36">
        <f>+G197-F197</f>
        <v>0</v>
      </c>
      <c r="I197" s="48">
        <f>ROUND(IF(H197&gt;0,H197*E195,0),4)</f>
        <v>0</v>
      </c>
    </row>
    <row r="198" spans="1:19" x14ac:dyDescent="0.3">
      <c r="A198" s="299" t="s">
        <v>119</v>
      </c>
      <c r="B198" s="300" t="s">
        <v>145</v>
      </c>
      <c r="C198" s="77" t="s">
        <v>74</v>
      </c>
      <c r="D198" s="300" t="s">
        <v>75</v>
      </c>
      <c r="E198" s="296"/>
      <c r="F198" s="39"/>
      <c r="G198" s="39"/>
      <c r="H198" s="35" t="s">
        <v>76</v>
      </c>
      <c r="I198" s="35" t="s">
        <v>76</v>
      </c>
    </row>
    <row r="199" spans="1:19" x14ac:dyDescent="0.3">
      <c r="A199" s="299"/>
      <c r="B199" s="300"/>
      <c r="C199" s="77" t="s">
        <v>77</v>
      </c>
      <c r="D199" s="300"/>
      <c r="E199" s="296"/>
      <c r="F199" s="39"/>
      <c r="G199" s="39"/>
      <c r="H199" s="35" t="s">
        <v>76</v>
      </c>
      <c r="I199" s="35" t="s">
        <v>76</v>
      </c>
    </row>
    <row r="200" spans="1:19" ht="28.8" x14ac:dyDescent="0.3">
      <c r="A200" s="299"/>
      <c r="B200" s="300"/>
      <c r="C200" s="77" t="s">
        <v>78</v>
      </c>
      <c r="D200" s="300"/>
      <c r="E200" s="296"/>
      <c r="F200" s="35">
        <f>+F198+F199</f>
        <v>0</v>
      </c>
      <c r="G200" s="35">
        <f t="shared" ref="G200" si="60">+G198+G199</f>
        <v>0</v>
      </c>
      <c r="H200" s="35">
        <f>+G200-F200</f>
        <v>0</v>
      </c>
      <c r="I200" s="47">
        <f>+ROUND(IF(H200&gt;0,H200*E198,0),4)</f>
        <v>0</v>
      </c>
      <c r="J200" s="120" t="s">
        <v>175</v>
      </c>
      <c r="R200" s="40" t="s">
        <v>176</v>
      </c>
      <c r="S200" s="40" t="s">
        <v>177</v>
      </c>
    </row>
    <row r="201" spans="1:19" x14ac:dyDescent="0.3">
      <c r="A201" s="314" t="s">
        <v>119</v>
      </c>
      <c r="B201" s="315" t="s">
        <v>103</v>
      </c>
      <c r="C201" s="103" t="s">
        <v>73</v>
      </c>
      <c r="D201" s="110" t="s">
        <v>76</v>
      </c>
      <c r="E201" s="49" t="s">
        <v>76</v>
      </c>
      <c r="F201" s="49" t="s">
        <v>76</v>
      </c>
      <c r="G201" s="49" t="s">
        <v>76</v>
      </c>
      <c r="H201" s="49" t="s">
        <v>76</v>
      </c>
      <c r="I201" s="49">
        <f>O201</f>
        <v>0</v>
      </c>
      <c r="J201" s="134">
        <f>IFERROR(P201,0)</f>
        <v>0</v>
      </c>
      <c r="N201" s="135">
        <f>ROUND(O201+O202,2)</f>
        <v>0</v>
      </c>
      <c r="O201" s="132">
        <f>ROUND(SUM(I171:I180,I190,I194),6)</f>
        <v>0</v>
      </c>
      <c r="P201" s="132">
        <f>IFERROR(ROUND((O201+O202)/E202,6),0)</f>
        <v>0</v>
      </c>
      <c r="Q201" s="135">
        <f>IFERROR(P201*N202,0)</f>
        <v>0</v>
      </c>
      <c r="R201" s="135">
        <f>Q202*N202</f>
        <v>0</v>
      </c>
      <c r="S201" s="135">
        <f>R201*1.2</f>
        <v>0</v>
      </c>
    </row>
    <row r="202" spans="1:19" ht="15" customHeight="1" x14ac:dyDescent="0.3">
      <c r="A202" s="314"/>
      <c r="B202" s="315"/>
      <c r="C202" s="103" t="s">
        <v>78</v>
      </c>
      <c r="D202" s="84" t="s">
        <v>75</v>
      </c>
      <c r="E202" s="131">
        <f>N202</f>
        <v>0</v>
      </c>
      <c r="F202" s="49" t="s">
        <v>76</v>
      </c>
      <c r="G202" s="49" t="s">
        <v>76</v>
      </c>
      <c r="H202" s="49" t="s">
        <v>76</v>
      </c>
      <c r="I202" s="49">
        <f>O202</f>
        <v>0</v>
      </c>
      <c r="N202" s="133">
        <f>ROUND(+E181+E184+E187+E191+E198+E195,3)</f>
        <v>0</v>
      </c>
      <c r="O202" s="132">
        <f>ROUND(+I183+I186+I189+I193+I200+I197,6)</f>
        <v>0</v>
      </c>
      <c r="P202" s="40">
        <f>ROUND(((O202+O201)*1.2),2)</f>
        <v>0</v>
      </c>
      <c r="Q202" s="40">
        <f>IFERROR(ROUND(N201/N202,6),0)</f>
        <v>0</v>
      </c>
    </row>
    <row r="203" spans="1:19" ht="15" customHeight="1" x14ac:dyDescent="0.3">
      <c r="A203" s="300" t="s">
        <v>146</v>
      </c>
      <c r="B203" s="300" t="s">
        <v>147</v>
      </c>
      <c r="C203" s="79" t="s">
        <v>127</v>
      </c>
      <c r="D203" s="114"/>
      <c r="E203" s="58"/>
      <c r="F203" s="39"/>
      <c r="G203" s="39"/>
      <c r="H203" s="35">
        <f t="shared" ref="H203:H211" si="61">+G203-F203</f>
        <v>0</v>
      </c>
      <c r="I203" s="47">
        <f t="shared" ref="I203:I211" si="62">+ROUND(IF(H203&gt;0,H203*E203,0),4)</f>
        <v>0</v>
      </c>
    </row>
    <row r="204" spans="1:19" ht="15" customHeight="1" x14ac:dyDescent="0.3">
      <c r="A204" s="300"/>
      <c r="B204" s="300"/>
      <c r="C204" s="79" t="s">
        <v>128</v>
      </c>
      <c r="D204" s="114"/>
      <c r="E204" s="58"/>
      <c r="F204" s="39"/>
      <c r="G204" s="39"/>
      <c r="H204" s="35">
        <f t="shared" si="61"/>
        <v>0</v>
      </c>
      <c r="I204" s="47">
        <f t="shared" si="62"/>
        <v>0</v>
      </c>
    </row>
    <row r="205" spans="1:19" x14ac:dyDescent="0.3">
      <c r="A205" s="300"/>
      <c r="B205" s="300"/>
      <c r="C205" s="79" t="s">
        <v>129</v>
      </c>
      <c r="D205" s="114"/>
      <c r="E205" s="58"/>
      <c r="F205" s="39"/>
      <c r="G205" s="39"/>
      <c r="H205" s="35">
        <f t="shared" si="61"/>
        <v>0</v>
      </c>
      <c r="I205" s="47">
        <f t="shared" si="62"/>
        <v>0</v>
      </c>
    </row>
    <row r="206" spans="1:19" x14ac:dyDescent="0.3">
      <c r="A206" s="300"/>
      <c r="B206" s="300"/>
      <c r="C206" s="79" t="s">
        <v>148</v>
      </c>
      <c r="D206" s="114"/>
      <c r="E206" s="58"/>
      <c r="F206" s="39"/>
      <c r="G206" s="39"/>
      <c r="H206" s="35">
        <f t="shared" si="61"/>
        <v>0</v>
      </c>
      <c r="I206" s="47">
        <f t="shared" si="62"/>
        <v>0</v>
      </c>
    </row>
    <row r="207" spans="1:19" x14ac:dyDescent="0.3">
      <c r="A207" s="300"/>
      <c r="B207" s="300"/>
      <c r="C207" s="79" t="s">
        <v>149</v>
      </c>
      <c r="D207" s="114"/>
      <c r="E207" s="58"/>
      <c r="F207" s="39"/>
      <c r="G207" s="39"/>
      <c r="H207" s="35">
        <f t="shared" si="61"/>
        <v>0</v>
      </c>
      <c r="I207" s="47">
        <f t="shared" si="62"/>
        <v>0</v>
      </c>
    </row>
    <row r="208" spans="1:19" x14ac:dyDescent="0.3">
      <c r="A208" s="300"/>
      <c r="B208" s="300"/>
      <c r="C208" s="79" t="s">
        <v>150</v>
      </c>
      <c r="D208" s="114"/>
      <c r="E208" s="58"/>
      <c r="F208" s="39"/>
      <c r="G208" s="39"/>
      <c r="H208" s="35">
        <f t="shared" si="61"/>
        <v>0</v>
      </c>
      <c r="I208" s="47">
        <f t="shared" si="62"/>
        <v>0</v>
      </c>
    </row>
    <row r="209" spans="1:19" x14ac:dyDescent="0.3">
      <c r="A209" s="300"/>
      <c r="B209" s="300"/>
      <c r="C209" s="79" t="s">
        <v>151</v>
      </c>
      <c r="D209" s="114"/>
      <c r="E209" s="58"/>
      <c r="F209" s="39"/>
      <c r="G209" s="39"/>
      <c r="H209" s="35">
        <f t="shared" si="61"/>
        <v>0</v>
      </c>
      <c r="I209" s="47">
        <f t="shared" si="62"/>
        <v>0</v>
      </c>
    </row>
    <row r="210" spans="1:19" x14ac:dyDescent="0.3">
      <c r="A210" s="300"/>
      <c r="B210" s="300"/>
      <c r="C210" s="79" t="s">
        <v>152</v>
      </c>
      <c r="D210" s="114"/>
      <c r="E210" s="58"/>
      <c r="F210" s="39"/>
      <c r="G210" s="39"/>
      <c r="H210" s="35">
        <f t="shared" si="61"/>
        <v>0</v>
      </c>
      <c r="I210" s="47">
        <f t="shared" si="62"/>
        <v>0</v>
      </c>
    </row>
    <row r="211" spans="1:19" x14ac:dyDescent="0.3">
      <c r="A211" s="300"/>
      <c r="B211" s="300"/>
      <c r="C211" s="79" t="s">
        <v>153</v>
      </c>
      <c r="D211" s="114"/>
      <c r="E211" s="58"/>
      <c r="F211" s="39"/>
      <c r="G211" s="39"/>
      <c r="H211" s="35">
        <f t="shared" si="61"/>
        <v>0</v>
      </c>
      <c r="I211" s="47">
        <f t="shared" si="62"/>
        <v>0</v>
      </c>
    </row>
    <row r="212" spans="1:19" x14ac:dyDescent="0.3">
      <c r="A212" s="300"/>
      <c r="B212" s="300"/>
      <c r="C212" s="77" t="s">
        <v>74</v>
      </c>
      <c r="D212" s="300" t="s">
        <v>75</v>
      </c>
      <c r="E212" s="296"/>
      <c r="F212" s="39"/>
      <c r="G212" s="39"/>
      <c r="H212" s="35" t="s">
        <v>76</v>
      </c>
      <c r="I212" s="35" t="s">
        <v>76</v>
      </c>
    </row>
    <row r="213" spans="1:19" x14ac:dyDescent="0.3">
      <c r="A213" s="300"/>
      <c r="B213" s="300"/>
      <c r="C213" s="77" t="s">
        <v>77</v>
      </c>
      <c r="D213" s="300"/>
      <c r="E213" s="296"/>
      <c r="F213" s="39"/>
      <c r="G213" s="39"/>
      <c r="H213" s="35" t="s">
        <v>76</v>
      </c>
      <c r="I213" s="35" t="s">
        <v>76</v>
      </c>
    </row>
    <row r="214" spans="1:19" x14ac:dyDescent="0.3">
      <c r="A214" s="300"/>
      <c r="B214" s="300"/>
      <c r="C214" s="77" t="s">
        <v>78</v>
      </c>
      <c r="D214" s="300"/>
      <c r="E214" s="296"/>
      <c r="F214" s="35">
        <f>+F212+F213</f>
        <v>0</v>
      </c>
      <c r="G214" s="35">
        <f t="shared" ref="G214" si="63">+G212+G213</f>
        <v>0</v>
      </c>
      <c r="H214" s="35">
        <f>+G214-F214</f>
        <v>0</v>
      </c>
      <c r="I214" s="47">
        <f>+ROUND(IF(H214&gt;0,H214*E212,0),4)</f>
        <v>0</v>
      </c>
    </row>
    <row r="215" spans="1:19" x14ac:dyDescent="0.3">
      <c r="A215" s="300"/>
      <c r="B215" s="300"/>
      <c r="C215" s="77" t="s">
        <v>138</v>
      </c>
      <c r="D215" s="300" t="s">
        <v>75</v>
      </c>
      <c r="E215" s="296"/>
      <c r="F215" s="39"/>
      <c r="G215" s="39"/>
      <c r="H215" s="35" t="s">
        <v>76</v>
      </c>
      <c r="I215" s="35" t="s">
        <v>76</v>
      </c>
    </row>
    <row r="216" spans="1:19" x14ac:dyDescent="0.3">
      <c r="A216" s="300"/>
      <c r="B216" s="300"/>
      <c r="C216" s="77" t="s">
        <v>77</v>
      </c>
      <c r="D216" s="300"/>
      <c r="E216" s="296"/>
      <c r="F216" s="39"/>
      <c r="G216" s="39"/>
      <c r="H216" s="35" t="s">
        <v>76</v>
      </c>
      <c r="I216" s="35" t="s">
        <v>76</v>
      </c>
    </row>
    <row r="217" spans="1:19" x14ac:dyDescent="0.3">
      <c r="A217" s="300"/>
      <c r="B217" s="300"/>
      <c r="C217" s="79" t="s">
        <v>139</v>
      </c>
      <c r="D217" s="300"/>
      <c r="E217" s="296"/>
      <c r="F217" s="35">
        <f>+F215+F216</f>
        <v>0</v>
      </c>
      <c r="G217" s="35">
        <f t="shared" ref="G217" si="64">+G215+G216</f>
        <v>0</v>
      </c>
      <c r="H217" s="35">
        <f>+G217-F217</f>
        <v>0</v>
      </c>
      <c r="I217" s="47">
        <f>+ROUND(IF(H217&gt;0,H217*E215,0),4)</f>
        <v>0</v>
      </c>
    </row>
    <row r="218" spans="1:19" x14ac:dyDescent="0.3">
      <c r="A218" s="300"/>
      <c r="B218" s="300"/>
      <c r="C218" s="77" t="s">
        <v>140</v>
      </c>
      <c r="D218" s="300" t="s">
        <v>75</v>
      </c>
      <c r="E218" s="296"/>
      <c r="F218" s="39"/>
      <c r="G218" s="39"/>
      <c r="H218" s="35" t="s">
        <v>76</v>
      </c>
      <c r="I218" s="35" t="s">
        <v>76</v>
      </c>
    </row>
    <row r="219" spans="1:19" x14ac:dyDescent="0.3">
      <c r="A219" s="300"/>
      <c r="B219" s="300"/>
      <c r="C219" s="77" t="s">
        <v>77</v>
      </c>
      <c r="D219" s="300"/>
      <c r="E219" s="296"/>
      <c r="F219" s="39"/>
      <c r="G219" s="39"/>
      <c r="H219" s="35" t="s">
        <v>76</v>
      </c>
      <c r="I219" s="35" t="s">
        <v>76</v>
      </c>
    </row>
    <row r="220" spans="1:19" ht="28.8" x14ac:dyDescent="0.3">
      <c r="A220" s="300"/>
      <c r="B220" s="300"/>
      <c r="C220" s="79" t="s">
        <v>141</v>
      </c>
      <c r="D220" s="300"/>
      <c r="E220" s="296"/>
      <c r="F220" s="35">
        <f>+F218+F219</f>
        <v>0</v>
      </c>
      <c r="G220" s="35">
        <f t="shared" ref="G220" si="65">+G218+G219</f>
        <v>0</v>
      </c>
      <c r="H220" s="35">
        <f>+G220-F220</f>
        <v>0</v>
      </c>
      <c r="I220" s="47">
        <f>+ROUND(IF(H220&gt;0,H220*E218,0),4)</f>
        <v>0</v>
      </c>
      <c r="J220" s="120" t="s">
        <v>178</v>
      </c>
    </row>
    <row r="221" spans="1:19" x14ac:dyDescent="0.3">
      <c r="A221" s="314" t="s">
        <v>146</v>
      </c>
      <c r="B221" s="315" t="s">
        <v>103</v>
      </c>
      <c r="C221" s="103" t="s">
        <v>73</v>
      </c>
      <c r="D221" s="110" t="s">
        <v>76</v>
      </c>
      <c r="E221" s="49" t="s">
        <v>76</v>
      </c>
      <c r="F221" s="49" t="s">
        <v>76</v>
      </c>
      <c r="G221" s="49" t="s">
        <v>76</v>
      </c>
      <c r="H221" s="49"/>
      <c r="I221" s="117">
        <f>O221</f>
        <v>0</v>
      </c>
      <c r="J221" s="134">
        <f>IFERROR(P221,0)</f>
        <v>0</v>
      </c>
      <c r="N221" s="132">
        <f>ROUND((+E212+E215+E218),3)</f>
        <v>0</v>
      </c>
      <c r="O221" s="132">
        <f>ROUND(SUM(I203:I211),6)</f>
        <v>0</v>
      </c>
      <c r="P221" s="40">
        <f>IFERROR(ROUND((O221+O222)/N221,6),0)</f>
        <v>0</v>
      </c>
      <c r="Q221" s="132">
        <f>IFERROR(ROUND(O223/N221,6),0)</f>
        <v>0</v>
      </c>
      <c r="R221" s="40" t="s">
        <v>100</v>
      </c>
      <c r="S221" s="40" t="s">
        <v>102</v>
      </c>
    </row>
    <row r="222" spans="1:19" ht="15" thickBot="1" x14ac:dyDescent="0.35">
      <c r="A222" s="314"/>
      <c r="B222" s="315"/>
      <c r="C222" s="104" t="s">
        <v>78</v>
      </c>
      <c r="D222" s="85" t="s">
        <v>75</v>
      </c>
      <c r="E222" s="131">
        <f>N221</f>
        <v>0</v>
      </c>
      <c r="F222" s="89" t="s">
        <v>76</v>
      </c>
      <c r="G222" s="89" t="s">
        <v>76</v>
      </c>
      <c r="H222" s="89" t="s">
        <v>76</v>
      </c>
      <c r="I222" s="118">
        <f>O222</f>
        <v>0</v>
      </c>
      <c r="O222" s="132">
        <f>ROUND(+I214+I217+I220,6)</f>
        <v>0</v>
      </c>
      <c r="P222" s="135">
        <f>ROUND((O221+O222)*1.2,2)</f>
        <v>0</v>
      </c>
      <c r="Q222" s="132">
        <f>Q221*N221</f>
        <v>0</v>
      </c>
      <c r="R222" s="135">
        <f>Q221*N221</f>
        <v>0</v>
      </c>
      <c r="S222" s="135">
        <f>ROUND(R222*1.2,2)</f>
        <v>0</v>
      </c>
    </row>
    <row r="223" spans="1:19" ht="15" thickBot="1" x14ac:dyDescent="0.35">
      <c r="A223" s="74"/>
      <c r="B223" s="99"/>
      <c r="C223" s="82" t="s">
        <v>179</v>
      </c>
      <c r="D223" s="87"/>
      <c r="E223" s="50" t="s">
        <v>76</v>
      </c>
      <c r="F223" s="50" t="s">
        <v>76</v>
      </c>
      <c r="G223" s="50" t="s">
        <v>76</v>
      </c>
      <c r="H223" s="50" t="s">
        <v>76</v>
      </c>
      <c r="I223" s="51">
        <f>IFERROR(SUM(R222,R201,Q170,P78),0)</f>
        <v>0</v>
      </c>
      <c r="J223" s="75"/>
      <c r="O223" s="132">
        <f>(O221+O222)</f>
        <v>0</v>
      </c>
      <c r="P223" s="135">
        <f>ROUND(O223*1.2,2)</f>
        <v>0</v>
      </c>
      <c r="Q223" s="135">
        <f>Q222*1.2</f>
        <v>0</v>
      </c>
    </row>
    <row r="224" spans="1:19" ht="15" thickBot="1" x14ac:dyDescent="0.35">
      <c r="A224" s="74"/>
      <c r="B224" s="99"/>
      <c r="C224" s="82" t="s">
        <v>156</v>
      </c>
      <c r="D224" s="87"/>
      <c r="E224" s="50" t="s">
        <v>76</v>
      </c>
      <c r="F224" s="50" t="s">
        <v>76</v>
      </c>
      <c r="G224" s="50" t="s">
        <v>76</v>
      </c>
      <c r="H224" s="50" t="s">
        <v>76</v>
      </c>
      <c r="I224" s="51">
        <f>IFERROR(ROUND(I225-I223,4),0)</f>
        <v>0</v>
      </c>
      <c r="J224" s="75"/>
      <c r="M224" s="135">
        <f>P221*N221*1.2</f>
        <v>0</v>
      </c>
      <c r="O224" s="40">
        <f>IFERROR(O223/N221,0)</f>
        <v>0</v>
      </c>
    </row>
    <row r="225" spans="1:16" ht="16.2" thickBot="1" x14ac:dyDescent="0.35">
      <c r="A225" s="74"/>
      <c r="B225" s="99"/>
      <c r="C225" s="102" t="s">
        <v>159</v>
      </c>
      <c r="D225" s="105"/>
      <c r="E225" s="54" t="s">
        <v>76</v>
      </c>
      <c r="F225" s="54" t="s">
        <v>76</v>
      </c>
      <c r="G225" s="54" t="s">
        <v>76</v>
      </c>
      <c r="H225" s="54" t="s">
        <v>76</v>
      </c>
      <c r="I225" s="55">
        <f>IFERROR(ROUND(I223*1.2,2),0)</f>
        <v>0</v>
      </c>
      <c r="J225" s="75"/>
    </row>
    <row r="226" spans="1:16" ht="18.600000000000001" thickBot="1" x14ac:dyDescent="0.35">
      <c r="A226" s="75"/>
      <c r="B226" s="100"/>
      <c r="D226" s="100"/>
      <c r="E226" s="75"/>
      <c r="F226" s="75"/>
      <c r="G226" s="75"/>
      <c r="H226" s="75"/>
      <c r="I226" s="75"/>
      <c r="J226" s="121" t="s">
        <v>180</v>
      </c>
      <c r="K226" s="76"/>
    </row>
    <row r="227" spans="1:16" s="41" customFormat="1" ht="30" customHeight="1" x14ac:dyDescent="0.3">
      <c r="A227" s="76"/>
      <c r="B227" s="101"/>
      <c r="D227" s="101"/>
      <c r="E227" s="324" t="s">
        <v>181</v>
      </c>
      <c r="F227" s="325"/>
      <c r="G227" s="326"/>
      <c r="H227" s="94">
        <f>IFERROR(I223+'Nátok z PRDS'!H227,0)</f>
        <v>0</v>
      </c>
      <c r="I227" s="95" t="s">
        <v>65</v>
      </c>
      <c r="J227" s="122">
        <f>IFERROR(ROUND((S222+S201+R170+Q78)-'Nátok z PRDS'!I225,2),0)</f>
        <v>0</v>
      </c>
      <c r="K227" s="142"/>
    </row>
    <row r="228" spans="1:16" s="41" customFormat="1" ht="38.25" customHeight="1" x14ac:dyDescent="0.3">
      <c r="A228" s="76"/>
      <c r="B228" s="101"/>
      <c r="D228" s="101"/>
      <c r="E228" s="323" t="s">
        <v>326</v>
      </c>
      <c r="F228" s="301"/>
      <c r="G228" s="302"/>
      <c r="H228" s="143">
        <f>ROUND((+E78+E170+E202+E222),3)</f>
        <v>0</v>
      </c>
      <c r="I228" s="96" t="s">
        <v>162</v>
      </c>
      <c r="J228" s="139"/>
      <c r="K228" s="76"/>
    </row>
    <row r="229" spans="1:16" s="41" customFormat="1" ht="45.75" customHeight="1" thickBot="1" x14ac:dyDescent="0.35">
      <c r="A229" s="76"/>
      <c r="B229" s="101"/>
      <c r="D229" s="101"/>
      <c r="E229" s="323" t="s">
        <v>163</v>
      </c>
      <c r="F229" s="301"/>
      <c r="G229" s="302"/>
      <c r="H229" s="97">
        <f>IFERROR(ROUND((I223/H228),6),0)</f>
        <v>0</v>
      </c>
      <c r="I229" s="98" t="s">
        <v>164</v>
      </c>
      <c r="J229" s="109">
        <f>IFERROR((I221+I222+I201+I202+I169+I170+I77+I78)/H228,0)</f>
        <v>0</v>
      </c>
      <c r="K229" s="75"/>
      <c r="P229" s="140">
        <f>99328*1146.790462*1.2</f>
        <v>136690083.61144319</v>
      </c>
    </row>
    <row r="230" spans="1:16" x14ac:dyDescent="0.3">
      <c r="A230" s="75"/>
      <c r="D230" s="100"/>
      <c r="E230" s="75"/>
      <c r="F230" s="75"/>
      <c r="G230" s="75"/>
      <c r="H230" s="75"/>
      <c r="I230" s="75"/>
      <c r="J230" s="75"/>
    </row>
    <row r="231" spans="1:16" x14ac:dyDescent="0.3">
      <c r="A231" s="106" t="s">
        <v>165</v>
      </c>
      <c r="B231" s="100"/>
      <c r="C231" s="75"/>
      <c r="D231" s="100"/>
      <c r="E231" s="75"/>
      <c r="F231" s="75"/>
      <c r="G231" s="75"/>
      <c r="H231" s="75"/>
      <c r="I231" s="75"/>
      <c r="J231" s="75"/>
      <c r="K231" s="75"/>
    </row>
    <row r="232" spans="1:16" x14ac:dyDescent="0.3">
      <c r="A232" s="106" t="s">
        <v>381</v>
      </c>
      <c r="B232" s="106"/>
      <c r="C232" s="106"/>
      <c r="D232" s="106"/>
      <c r="E232" s="106"/>
      <c r="F232" s="106"/>
      <c r="G232" s="106"/>
      <c r="H232" s="106"/>
      <c r="I232" s="106"/>
      <c r="J232" s="75"/>
      <c r="K232" s="75"/>
    </row>
    <row r="233" spans="1:16" x14ac:dyDescent="0.3">
      <c r="A233" s="309" t="s">
        <v>167</v>
      </c>
      <c r="B233" s="309"/>
      <c r="C233" s="309"/>
      <c r="D233" s="309"/>
      <c r="E233" s="309"/>
      <c r="F233" s="309"/>
      <c r="G233" s="309"/>
      <c r="H233" s="309"/>
      <c r="I233" s="309"/>
      <c r="J233" s="75"/>
      <c r="K233" s="75"/>
    </row>
    <row r="234" spans="1:16" ht="15" customHeight="1" x14ac:dyDescent="0.3">
      <c r="A234" s="310" t="s">
        <v>376</v>
      </c>
      <c r="B234" s="310"/>
      <c r="C234" s="310"/>
      <c r="D234" s="310"/>
      <c r="E234" s="310"/>
      <c r="F234" s="310"/>
      <c r="G234" s="310"/>
      <c r="H234" s="310"/>
      <c r="I234" s="310"/>
      <c r="J234" s="75"/>
      <c r="K234" s="75"/>
    </row>
    <row r="235" spans="1:16" x14ac:dyDescent="0.3">
      <c r="A235" s="309" t="s">
        <v>168</v>
      </c>
      <c r="B235" s="309"/>
      <c r="C235" s="309"/>
      <c r="D235" s="309"/>
      <c r="E235" s="309"/>
      <c r="F235" s="309"/>
      <c r="G235" s="309"/>
      <c r="H235" s="309"/>
      <c r="I235" s="309"/>
      <c r="J235" s="75"/>
      <c r="K235" s="75"/>
    </row>
    <row r="236" spans="1:16" x14ac:dyDescent="0.3">
      <c r="A236" s="309" t="s">
        <v>169</v>
      </c>
      <c r="B236" s="309"/>
      <c r="C236" s="309"/>
      <c r="D236" s="309"/>
      <c r="E236" s="309"/>
      <c r="F236" s="309"/>
      <c r="G236" s="309"/>
      <c r="H236" s="309"/>
      <c r="I236" s="309"/>
      <c r="J236" s="75"/>
      <c r="K236" s="75"/>
    </row>
    <row r="237" spans="1:16" x14ac:dyDescent="0.3">
      <c r="A237" s="309" t="s">
        <v>170</v>
      </c>
      <c r="B237" s="309"/>
      <c r="C237" s="309"/>
      <c r="D237" s="309"/>
      <c r="E237" s="309"/>
      <c r="F237" s="309"/>
      <c r="G237" s="309"/>
      <c r="H237" s="309"/>
      <c r="I237" s="309"/>
      <c r="J237" s="75"/>
      <c r="K237" s="75"/>
    </row>
    <row r="238" spans="1:16" x14ac:dyDescent="0.3">
      <c r="A238" s="309" t="s">
        <v>171</v>
      </c>
      <c r="B238" s="309"/>
      <c r="C238" s="309"/>
      <c r="D238" s="309"/>
      <c r="E238" s="309"/>
      <c r="F238" s="309"/>
      <c r="G238" s="309"/>
      <c r="H238" s="309"/>
      <c r="I238" s="309"/>
      <c r="J238" s="75"/>
      <c r="K238" s="75"/>
    </row>
    <row r="239" spans="1:16" x14ac:dyDescent="0.3">
      <c r="A239" s="106" t="s">
        <v>172</v>
      </c>
      <c r="B239" s="100"/>
      <c r="C239" s="75"/>
      <c r="D239" s="100"/>
      <c r="E239" s="75"/>
      <c r="F239" s="75"/>
      <c r="G239" s="75"/>
      <c r="H239" s="75"/>
      <c r="I239" s="75"/>
      <c r="J239" s="75"/>
      <c r="K239" s="75"/>
    </row>
  </sheetData>
  <sheetProtection algorithmName="SHA-512" hashValue="bxjRJH7XBvEQmn2WJ2KxwdqnYEqYBy5QRz+DuSNh49wEjH3CQv4jULmMBKG6tNYcVXYW2l6977kSf6Z5Q6POvA==" saltValue="EWheXmqXHFcIIF404UtbPw==" spinCount="100000" sheet="1" selectLockedCells="1"/>
  <mergeCells count="178">
    <mergeCell ref="A233:I233"/>
    <mergeCell ref="A234:I234"/>
    <mergeCell ref="A235:I235"/>
    <mergeCell ref="A236:I236"/>
    <mergeCell ref="A237:I237"/>
    <mergeCell ref="A238:I238"/>
    <mergeCell ref="A221:A222"/>
    <mergeCell ref="B221:B222"/>
    <mergeCell ref="E228:G228"/>
    <mergeCell ref="E229:G229"/>
    <mergeCell ref="E227:G227"/>
    <mergeCell ref="A203:A220"/>
    <mergeCell ref="B203:B220"/>
    <mergeCell ref="D212:D214"/>
    <mergeCell ref="E212:E214"/>
    <mergeCell ref="D215:D217"/>
    <mergeCell ref="E215:E217"/>
    <mergeCell ref="D218:D220"/>
    <mergeCell ref="E218:E220"/>
    <mergeCell ref="A198:A200"/>
    <mergeCell ref="B198:B200"/>
    <mergeCell ref="D198:D200"/>
    <mergeCell ref="E198:E200"/>
    <mergeCell ref="A201:A202"/>
    <mergeCell ref="B201:B202"/>
    <mergeCell ref="A190:A193"/>
    <mergeCell ref="B190:B193"/>
    <mergeCell ref="D191:D193"/>
    <mergeCell ref="E191:E193"/>
    <mergeCell ref="A194:A197"/>
    <mergeCell ref="B194:B197"/>
    <mergeCell ref="D195:D197"/>
    <mergeCell ref="E195:E197"/>
    <mergeCell ref="A169:A170"/>
    <mergeCell ref="B169:B17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A155:A168"/>
    <mergeCell ref="B155:B168"/>
    <mergeCell ref="D157:D159"/>
    <mergeCell ref="E157:E159"/>
    <mergeCell ref="D160:D162"/>
    <mergeCell ref="E160:E162"/>
    <mergeCell ref="D163:D165"/>
    <mergeCell ref="E163:E165"/>
    <mergeCell ref="D166:D168"/>
    <mergeCell ref="E166:E168"/>
    <mergeCell ref="A141:A146"/>
    <mergeCell ref="B141:B146"/>
    <mergeCell ref="D144:D146"/>
    <mergeCell ref="E144:E146"/>
    <mergeCell ref="A147:A154"/>
    <mergeCell ref="B147:B154"/>
    <mergeCell ref="D149:D151"/>
    <mergeCell ref="E149:E151"/>
    <mergeCell ref="D152:D154"/>
    <mergeCell ref="E152:E154"/>
    <mergeCell ref="A134:A135"/>
    <mergeCell ref="B134:B135"/>
    <mergeCell ref="A136:A140"/>
    <mergeCell ref="B136:B140"/>
    <mergeCell ref="D138:D140"/>
    <mergeCell ref="E138:E140"/>
    <mergeCell ref="A126:A133"/>
    <mergeCell ref="B126:B133"/>
    <mergeCell ref="D128:D130"/>
    <mergeCell ref="E128:E130"/>
    <mergeCell ref="D131:D133"/>
    <mergeCell ref="E131:E133"/>
    <mergeCell ref="A118:A125"/>
    <mergeCell ref="B118:B125"/>
    <mergeCell ref="D120:D122"/>
    <mergeCell ref="E120:E122"/>
    <mergeCell ref="D123:D125"/>
    <mergeCell ref="E123:E125"/>
    <mergeCell ref="A110:A117"/>
    <mergeCell ref="B110:B117"/>
    <mergeCell ref="D112:D114"/>
    <mergeCell ref="E112:E114"/>
    <mergeCell ref="D115:D117"/>
    <mergeCell ref="E115:E117"/>
    <mergeCell ref="A102:A109"/>
    <mergeCell ref="B102:B109"/>
    <mergeCell ref="D104:D106"/>
    <mergeCell ref="E104:E106"/>
    <mergeCell ref="D107:D109"/>
    <mergeCell ref="E107:E109"/>
    <mergeCell ref="A94:A101"/>
    <mergeCell ref="B94:B101"/>
    <mergeCell ref="D96:D98"/>
    <mergeCell ref="E96:E98"/>
    <mergeCell ref="D99:D101"/>
    <mergeCell ref="E99:E101"/>
    <mergeCell ref="A84:A88"/>
    <mergeCell ref="B84:B88"/>
    <mergeCell ref="D86:D88"/>
    <mergeCell ref="E86:E88"/>
    <mergeCell ref="A89:A93"/>
    <mergeCell ref="B89:B93"/>
    <mergeCell ref="D91:D93"/>
    <mergeCell ref="E91:E93"/>
    <mergeCell ref="A77:A78"/>
    <mergeCell ref="B77:B78"/>
    <mergeCell ref="A79:A83"/>
    <mergeCell ref="B79:B83"/>
    <mergeCell ref="D81:D83"/>
    <mergeCell ref="E81:E83"/>
    <mergeCell ref="A64:A76"/>
    <mergeCell ref="B64:B76"/>
    <mergeCell ref="D65:D67"/>
    <mergeCell ref="E65:E67"/>
    <mergeCell ref="D68:D70"/>
    <mergeCell ref="E68:E70"/>
    <mergeCell ref="D71:D73"/>
    <mergeCell ref="E71:E73"/>
    <mergeCell ref="D74:D76"/>
    <mergeCell ref="E74:E76"/>
    <mergeCell ref="A57:A63"/>
    <mergeCell ref="B57:B63"/>
    <mergeCell ref="D58:D60"/>
    <mergeCell ref="E58:E60"/>
    <mergeCell ref="D61:D63"/>
    <mergeCell ref="E61:E63"/>
    <mergeCell ref="A50:A56"/>
    <mergeCell ref="B50:B56"/>
    <mergeCell ref="D51:D53"/>
    <mergeCell ref="E51:E53"/>
    <mergeCell ref="D54:D56"/>
    <mergeCell ref="E54:E56"/>
    <mergeCell ref="A43:A49"/>
    <mergeCell ref="B43:B49"/>
    <mergeCell ref="D44:D46"/>
    <mergeCell ref="E44:E46"/>
    <mergeCell ref="D47:D49"/>
    <mergeCell ref="E47:E49"/>
    <mergeCell ref="A36:A42"/>
    <mergeCell ref="B36:B42"/>
    <mergeCell ref="D37:D39"/>
    <mergeCell ref="E37:E39"/>
    <mergeCell ref="D40:D42"/>
    <mergeCell ref="E40:E42"/>
    <mergeCell ref="A29:A35"/>
    <mergeCell ref="B29:B35"/>
    <mergeCell ref="D30:D32"/>
    <mergeCell ref="E30:E32"/>
    <mergeCell ref="D33:D35"/>
    <mergeCell ref="E33:E35"/>
    <mergeCell ref="A21:A28"/>
    <mergeCell ref="B21:B28"/>
    <mergeCell ref="D23:D25"/>
    <mergeCell ref="E23:E25"/>
    <mergeCell ref="D26:D28"/>
    <mergeCell ref="E26:E28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A1:I1"/>
    <mergeCell ref="A2:A4"/>
    <mergeCell ref="B2:B4"/>
    <mergeCell ref="C2:C4"/>
    <mergeCell ref="D2:D4"/>
    <mergeCell ref="A5:A8"/>
    <mergeCell ref="B5:B8"/>
    <mergeCell ref="D6:D8"/>
    <mergeCell ref="E6:E8"/>
  </mergeCells>
  <dataValidations count="3">
    <dataValidation allowBlank="1" showInputMessage="1" showErrorMessage="1" promptTitle="URSO 24" prompt="Zadajte prosím link na rozhodnutie URSO  na základe ktorého žiadate o kompenzáciu" sqref="K3" xr:uid="{00000000-0002-0000-0200-000000000000}"/>
    <dataValidation allowBlank="1" showInputMessage="1" showErrorMessage="1" promptTitle="URSO 22 " prompt="Zadajte prosím link na rozhodnutie URSO  na základe ktorého žiadate o kompenzáciu" sqref="K2" xr:uid="{00000000-0002-0000-0200-000001000000}"/>
    <dataValidation type="textLength" allowBlank="1" showInputMessage="1" showErrorMessage="1" sqref="J2" xr:uid="{00000000-0002-0000-0200-000002000000}">
      <formula1>16</formula1>
      <formula2>16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>
    <oddHeader>&amp;L&amp;"Calibri"&amp;12&amp;K000000         INTERNÉ&amp;1#_x000D_</oddHeader>
    <oddFooter>&amp;C&amp;P z &amp;N</oddFooter>
  </headerFooter>
  <rowBreaks count="5" manualBreakCount="5">
    <brk id="42" max="16383" man="1"/>
    <brk id="88" max="16383" man="1"/>
    <brk id="135" max="16383" man="1"/>
    <brk id="170" max="16383" man="1"/>
    <brk id="2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5"/>
  <sheetViews>
    <sheetView zoomScale="85" zoomScaleNormal="85" workbookViewId="0">
      <selection activeCell="D9" sqref="D9"/>
    </sheetView>
  </sheetViews>
  <sheetFormatPr defaultRowHeight="14.4" x14ac:dyDescent="0.3"/>
  <cols>
    <col min="1" max="1" width="38.33203125" customWidth="1"/>
    <col min="2" max="2" width="10.44140625" customWidth="1"/>
    <col min="3" max="3" width="53.88671875" customWidth="1"/>
    <col min="4" max="4" width="5.6640625" customWidth="1"/>
    <col min="5" max="5" width="28.5546875" customWidth="1"/>
    <col min="6" max="9" width="21.44140625" customWidth="1"/>
    <col min="11" max="11" width="9.109375" hidden="1" customWidth="1"/>
    <col min="12" max="12" width="45.109375" hidden="1" customWidth="1"/>
    <col min="13" max="14" width="0" hidden="1" customWidth="1"/>
  </cols>
  <sheetData>
    <row r="1" spans="1:13" ht="19.8" x14ac:dyDescent="0.3">
      <c r="A1" s="327" t="s">
        <v>288</v>
      </c>
      <c r="B1" s="327"/>
      <c r="C1" s="327"/>
      <c r="D1" s="327"/>
      <c r="E1" s="327"/>
      <c r="F1" s="327"/>
      <c r="G1" s="327"/>
      <c r="H1" s="327"/>
      <c r="I1" s="328"/>
      <c r="K1" s="69" t="s">
        <v>182</v>
      </c>
      <c r="L1" s="69" t="s">
        <v>183</v>
      </c>
    </row>
    <row r="2" spans="1:13" ht="36" x14ac:dyDescent="0.3">
      <c r="A2" s="318" t="s">
        <v>290</v>
      </c>
      <c r="B2" s="300" t="s">
        <v>59</v>
      </c>
      <c r="C2" s="300" t="s">
        <v>60</v>
      </c>
      <c r="D2" s="300" t="s">
        <v>61</v>
      </c>
      <c r="E2" s="33" t="s">
        <v>62</v>
      </c>
      <c r="F2" s="112" t="s">
        <v>184</v>
      </c>
      <c r="G2" s="112" t="s">
        <v>185</v>
      </c>
      <c r="H2" s="33" t="s">
        <v>186</v>
      </c>
      <c r="I2" s="45" t="s">
        <v>187</v>
      </c>
    </row>
    <row r="3" spans="1:13" x14ac:dyDescent="0.3">
      <c r="A3" s="318"/>
      <c r="B3" s="300"/>
      <c r="C3" s="300"/>
      <c r="D3" s="300"/>
      <c r="E3" s="37" t="s">
        <v>63</v>
      </c>
      <c r="F3" s="34" t="s">
        <v>64</v>
      </c>
      <c r="G3" s="34" t="s">
        <v>64</v>
      </c>
      <c r="H3" s="34" t="s">
        <v>64</v>
      </c>
      <c r="I3" s="46" t="s">
        <v>65</v>
      </c>
    </row>
    <row r="4" spans="1:13" x14ac:dyDescent="0.3">
      <c r="A4" s="318"/>
      <c r="B4" s="300"/>
      <c r="C4" s="300"/>
      <c r="D4" s="300"/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</row>
    <row r="5" spans="1:13" x14ac:dyDescent="0.3">
      <c r="A5" s="299" t="s">
        <v>71</v>
      </c>
      <c r="B5" s="300" t="s">
        <v>72</v>
      </c>
      <c r="C5" s="77" t="s">
        <v>73</v>
      </c>
      <c r="D5" s="114" t="s">
        <v>118</v>
      </c>
      <c r="E5" s="58"/>
      <c r="F5" s="39">
        <v>1.3206</v>
      </c>
      <c r="G5" s="39">
        <v>1.4527000000000001</v>
      </c>
      <c r="H5" s="35">
        <f>+G5-F5</f>
        <v>0.13210000000000011</v>
      </c>
      <c r="I5" s="47">
        <f>+ROUND(IF(H5&gt;0,H5*E5,0),4)</f>
        <v>0</v>
      </c>
      <c r="L5" s="65">
        <f>IFERROR(H5-'Nátok z PRDS'!H5,"N/A")</f>
        <v>0.13210000000000011</v>
      </c>
      <c r="M5" s="65">
        <f>IFERROR(H5-'Distribúcia KS v PMDS'!H5,0)</f>
        <v>0.13210000000000011</v>
      </c>
    </row>
    <row r="6" spans="1:13" x14ac:dyDescent="0.3">
      <c r="A6" s="299"/>
      <c r="B6" s="300"/>
      <c r="C6" s="77" t="s">
        <v>74</v>
      </c>
      <c r="D6" s="306" t="s">
        <v>75</v>
      </c>
      <c r="E6" s="319"/>
      <c r="F6" s="39">
        <v>38.904000000000003</v>
      </c>
      <c r="G6" s="39">
        <v>40.425999999999995</v>
      </c>
      <c r="H6" s="35" t="s">
        <v>76</v>
      </c>
      <c r="I6" s="35" t="s">
        <v>76</v>
      </c>
      <c r="L6" s="65" t="str">
        <f>IFERROR(H6-'Nátok z PRDS'!H6,"N/A")</f>
        <v>N/A</v>
      </c>
      <c r="M6" s="65">
        <f>IFERROR(H6-'Distribúcia KS v PMDS'!H6,0)</f>
        <v>0</v>
      </c>
    </row>
    <row r="7" spans="1:13" x14ac:dyDescent="0.3">
      <c r="A7" s="299"/>
      <c r="B7" s="300"/>
      <c r="C7" s="77" t="s">
        <v>77</v>
      </c>
      <c r="D7" s="307"/>
      <c r="E7" s="320"/>
      <c r="F7" s="39">
        <v>11.466000000000001</v>
      </c>
      <c r="G7" s="39">
        <v>16.826000000000001</v>
      </c>
      <c r="H7" s="35" t="s">
        <v>76</v>
      </c>
      <c r="I7" s="35" t="s">
        <v>76</v>
      </c>
      <c r="L7" s="65" t="str">
        <f>IFERROR(H7-'Nátok z PRDS'!H7,"N/A")</f>
        <v>N/A</v>
      </c>
      <c r="M7" s="65">
        <f>IFERROR(H7-'Distribúcia KS v PMDS'!H7,0)</f>
        <v>0</v>
      </c>
    </row>
    <row r="8" spans="1:13" x14ac:dyDescent="0.3">
      <c r="A8" s="299"/>
      <c r="B8" s="300"/>
      <c r="C8" s="77" t="s">
        <v>78</v>
      </c>
      <c r="D8" s="308"/>
      <c r="E8" s="321"/>
      <c r="F8" s="35">
        <f>+F6+F7</f>
        <v>50.370000000000005</v>
      </c>
      <c r="G8" s="35">
        <f t="shared" ref="G8" si="0">+G6+G7</f>
        <v>57.251999999999995</v>
      </c>
      <c r="H8" s="35">
        <f>+G8-F8</f>
        <v>6.8819999999999908</v>
      </c>
      <c r="I8" s="47">
        <f>+ROUND(IF(H8&gt;0,H8*E6,0),4)</f>
        <v>0</v>
      </c>
      <c r="L8" s="65">
        <f>IFERROR(H8-'Nátok z PRDS'!H8,"N/A")</f>
        <v>6.8819999999999908</v>
      </c>
      <c r="M8" s="65">
        <f>IFERROR(H8-'Distribúcia KS v PMDS'!H8,0)</f>
        <v>6.8819999999999908</v>
      </c>
    </row>
    <row r="9" spans="1:13" x14ac:dyDescent="0.3">
      <c r="A9" s="299" t="s">
        <v>71</v>
      </c>
      <c r="B9" s="300" t="s">
        <v>79</v>
      </c>
      <c r="C9" s="77" t="s">
        <v>73</v>
      </c>
      <c r="D9" s="114" t="s">
        <v>118</v>
      </c>
      <c r="E9" s="58"/>
      <c r="F9" s="39">
        <v>4.5807000000000002</v>
      </c>
      <c r="G9" s="39">
        <v>5.0387000000000004</v>
      </c>
      <c r="H9" s="35">
        <f>+G9-F9</f>
        <v>0.45800000000000018</v>
      </c>
      <c r="I9" s="47">
        <f t="shared" ref="I9" si="1">+ROUND(IF(H9&gt;0,H9*E9,0),4)</f>
        <v>0</v>
      </c>
      <c r="L9" s="65">
        <f>IFERROR(H9-'Nátok z PRDS'!H9,"N/A")</f>
        <v>0.45800000000000018</v>
      </c>
      <c r="M9" s="65">
        <f>IFERROR(H9-'Distribúcia KS v PMDS'!H9,0)</f>
        <v>0.45800000000000018</v>
      </c>
    </row>
    <row r="10" spans="1:13" x14ac:dyDescent="0.3">
      <c r="A10" s="299"/>
      <c r="B10" s="300"/>
      <c r="C10" s="78" t="s">
        <v>80</v>
      </c>
      <c r="D10" s="114"/>
      <c r="E10" s="58"/>
      <c r="F10" s="39"/>
      <c r="G10" s="39"/>
      <c r="H10" s="35">
        <f>+G10-F10</f>
        <v>0</v>
      </c>
      <c r="I10" s="47">
        <f>+ROUND(IF(H10&gt;0,H10*E10,0),4)</f>
        <v>0</v>
      </c>
      <c r="L10" s="65">
        <f>IFERROR(H10-'Nátok z PRDS'!H10,"N/A")</f>
        <v>0</v>
      </c>
      <c r="M10" s="65">
        <f>IFERROR(H10-'Distribúcia KS v PMDS'!H10,0)</f>
        <v>0</v>
      </c>
    </row>
    <row r="11" spans="1:13" x14ac:dyDescent="0.3">
      <c r="A11" s="299"/>
      <c r="B11" s="300"/>
      <c r="C11" s="77" t="s">
        <v>74</v>
      </c>
      <c r="D11" s="306" t="s">
        <v>75</v>
      </c>
      <c r="E11" s="296"/>
      <c r="F11" s="39">
        <v>13.004999999999999</v>
      </c>
      <c r="G11" s="39">
        <v>13.044</v>
      </c>
      <c r="H11" s="35" t="s">
        <v>76</v>
      </c>
      <c r="I11" s="35" t="s">
        <v>76</v>
      </c>
      <c r="L11" s="65" t="str">
        <f>IFERROR(H11-'Nátok z PRDS'!H11,"N/A")</f>
        <v>N/A</v>
      </c>
      <c r="M11" s="65">
        <f>IFERROR(H11-'Distribúcia KS v PMDS'!H11,0)</f>
        <v>0</v>
      </c>
    </row>
    <row r="12" spans="1:13" x14ac:dyDescent="0.3">
      <c r="A12" s="299"/>
      <c r="B12" s="300"/>
      <c r="C12" s="77" t="s">
        <v>77</v>
      </c>
      <c r="D12" s="307"/>
      <c r="E12" s="296"/>
      <c r="F12" s="39">
        <v>11.466000000000001</v>
      </c>
      <c r="G12" s="39">
        <v>16.826000000000001</v>
      </c>
      <c r="H12" s="35" t="s">
        <v>76</v>
      </c>
      <c r="I12" s="35" t="s">
        <v>76</v>
      </c>
      <c r="L12" s="65" t="str">
        <f>IFERROR(H12-'Nátok z PRDS'!H12,"N/A")</f>
        <v>N/A</v>
      </c>
      <c r="M12" s="65">
        <f>IFERROR(H12-'Distribúcia KS v PMDS'!H12,0)</f>
        <v>0</v>
      </c>
    </row>
    <row r="13" spans="1:13" x14ac:dyDescent="0.3">
      <c r="A13" s="299"/>
      <c r="B13" s="300"/>
      <c r="C13" s="77" t="s">
        <v>78</v>
      </c>
      <c r="D13" s="308"/>
      <c r="E13" s="296"/>
      <c r="F13" s="35">
        <f>+F11+F12</f>
        <v>24.471</v>
      </c>
      <c r="G13" s="35">
        <f t="shared" ref="G13" si="2">+G11+G12</f>
        <v>29.87</v>
      </c>
      <c r="H13" s="35">
        <f>+G13-F13</f>
        <v>5.3990000000000009</v>
      </c>
      <c r="I13" s="47">
        <f>+ROUND(IF(H13&gt;0,H13*E11,0),4)</f>
        <v>0</v>
      </c>
      <c r="L13" s="65">
        <f>IFERROR(H13-'Nátok z PRDS'!H13,"N/A")</f>
        <v>5.3990000000000009</v>
      </c>
      <c r="M13" s="65">
        <f>IFERROR(H13-'Distribúcia KS v PMDS'!H13,0)</f>
        <v>5.3990000000000009</v>
      </c>
    </row>
    <row r="14" spans="1:13" x14ac:dyDescent="0.3">
      <c r="A14" s="299" t="s">
        <v>71</v>
      </c>
      <c r="B14" s="300" t="s">
        <v>81</v>
      </c>
      <c r="C14" s="77" t="s">
        <v>73</v>
      </c>
      <c r="D14" s="114" t="s">
        <v>118</v>
      </c>
      <c r="E14" s="58"/>
      <c r="F14" s="39">
        <v>7.2595000000000001</v>
      </c>
      <c r="G14" s="39">
        <v>7.9854000000000003</v>
      </c>
      <c r="H14" s="35">
        <f>+G14-F14</f>
        <v>0.72590000000000021</v>
      </c>
      <c r="I14" s="47">
        <f t="shared" ref="I14" si="3">+ROUND(IF(H14&gt;0,H14*E14,0),4)</f>
        <v>0</v>
      </c>
      <c r="L14" s="65">
        <f>IFERROR(H14-'Nátok z PRDS'!H14,"N/A")</f>
        <v>0.72590000000000021</v>
      </c>
      <c r="M14" s="65">
        <f>IFERROR(H14-'Distribúcia KS v PMDS'!H14,0)</f>
        <v>0.72590000000000021</v>
      </c>
    </row>
    <row r="15" spans="1:13" x14ac:dyDescent="0.3">
      <c r="A15" s="299"/>
      <c r="B15" s="300"/>
      <c r="C15" s="77" t="s">
        <v>82</v>
      </c>
      <c r="D15" s="306" t="s">
        <v>75</v>
      </c>
      <c r="E15" s="296">
        <v>0</v>
      </c>
      <c r="F15" s="39">
        <v>13.004999999999999</v>
      </c>
      <c r="G15" s="39">
        <v>13.044</v>
      </c>
      <c r="H15" s="35" t="s">
        <v>76</v>
      </c>
      <c r="I15" s="35" t="s">
        <v>76</v>
      </c>
      <c r="L15" s="65" t="str">
        <f>IFERROR(H15-'Nátok z PRDS'!H15,"N/A")</f>
        <v>N/A</v>
      </c>
      <c r="M15" s="65">
        <f>IFERROR(H15-'Distribúcia KS v PMDS'!H15,0)</f>
        <v>0</v>
      </c>
    </row>
    <row r="16" spans="1:13" x14ac:dyDescent="0.3">
      <c r="A16" s="299"/>
      <c r="B16" s="300"/>
      <c r="C16" s="77" t="s">
        <v>77</v>
      </c>
      <c r="D16" s="307"/>
      <c r="E16" s="296"/>
      <c r="F16" s="39">
        <v>11.466000000000001</v>
      </c>
      <c r="G16" s="39">
        <v>16.826000000000001</v>
      </c>
      <c r="H16" s="35" t="s">
        <v>76</v>
      </c>
      <c r="I16" s="35" t="s">
        <v>76</v>
      </c>
      <c r="L16" s="65" t="str">
        <f>IFERROR(H16-'Nátok z PRDS'!H16,"N/A")</f>
        <v>N/A</v>
      </c>
      <c r="M16" s="65">
        <f>IFERROR(H16-'Distribúcia KS v PMDS'!H16,0)</f>
        <v>0</v>
      </c>
    </row>
    <row r="17" spans="1:13" x14ac:dyDescent="0.3">
      <c r="A17" s="299"/>
      <c r="B17" s="300"/>
      <c r="C17" s="77" t="s">
        <v>83</v>
      </c>
      <c r="D17" s="308"/>
      <c r="E17" s="296"/>
      <c r="F17" s="35">
        <f>+F15+F16</f>
        <v>24.471</v>
      </c>
      <c r="G17" s="35">
        <f t="shared" ref="G17" si="4">+G15+G16</f>
        <v>29.87</v>
      </c>
      <c r="H17" s="35">
        <f>+G17-F17</f>
        <v>5.3990000000000009</v>
      </c>
      <c r="I17" s="47">
        <f>+ROUND(IF(H17&gt;0,H17*E15,0),4)</f>
        <v>0</v>
      </c>
      <c r="L17" s="65">
        <f>IFERROR(H17-'Nátok z PRDS'!H17,"N/A")</f>
        <v>5.3990000000000009</v>
      </c>
      <c r="M17" s="65">
        <f>IFERROR(H17-'Distribúcia KS v PMDS'!H17,0)</f>
        <v>5.3990000000000009</v>
      </c>
    </row>
    <row r="18" spans="1:13" x14ac:dyDescent="0.3">
      <c r="A18" s="299"/>
      <c r="B18" s="300"/>
      <c r="C18" s="77" t="s">
        <v>84</v>
      </c>
      <c r="D18" s="306" t="s">
        <v>75</v>
      </c>
      <c r="E18" s="296">
        <v>0</v>
      </c>
      <c r="F18" s="39"/>
      <c r="G18" s="39"/>
      <c r="H18" s="35" t="s">
        <v>76</v>
      </c>
      <c r="I18" s="35" t="s">
        <v>76</v>
      </c>
      <c r="L18" s="65" t="str">
        <f>IFERROR(H18-'Nátok z PRDS'!H18,"N/A")</f>
        <v>N/A</v>
      </c>
      <c r="M18" s="65">
        <f>IFERROR(H18-'Distribúcia KS v PMDS'!H18,0)</f>
        <v>0</v>
      </c>
    </row>
    <row r="19" spans="1:13" x14ac:dyDescent="0.3">
      <c r="A19" s="299"/>
      <c r="B19" s="300"/>
      <c r="C19" s="77" t="s">
        <v>77</v>
      </c>
      <c r="D19" s="307"/>
      <c r="E19" s="296"/>
      <c r="F19" s="39"/>
      <c r="G19" s="39"/>
      <c r="H19" s="35" t="s">
        <v>76</v>
      </c>
      <c r="I19" s="35" t="s">
        <v>76</v>
      </c>
      <c r="L19" s="65" t="str">
        <f>IFERROR(H19-'Nátok z PRDS'!H19,"N/A")</f>
        <v>N/A</v>
      </c>
      <c r="M19" s="65">
        <f>IFERROR(H19-'Distribúcia KS v PMDS'!H19,0)</f>
        <v>0</v>
      </c>
    </row>
    <row r="20" spans="1:13" x14ac:dyDescent="0.3">
      <c r="A20" s="299"/>
      <c r="B20" s="300"/>
      <c r="C20" s="77" t="s">
        <v>85</v>
      </c>
      <c r="D20" s="308"/>
      <c r="E20" s="296"/>
      <c r="F20" s="35">
        <f>+F18+F19</f>
        <v>0</v>
      </c>
      <c r="G20" s="35">
        <f t="shared" ref="G20" si="5">+G18+G19</f>
        <v>0</v>
      </c>
      <c r="H20" s="35">
        <f>+G20-F20</f>
        <v>0</v>
      </c>
      <c r="I20" s="47">
        <f>+ROUND(IF(H20&gt;0,H20*E18,0),4)</f>
        <v>0</v>
      </c>
      <c r="L20" s="65">
        <f>IFERROR(H20-'Nátok z PRDS'!H20,"N/A")</f>
        <v>0</v>
      </c>
      <c r="M20" s="65">
        <f>IFERROR(H20-'Distribúcia KS v PMDS'!H20,0)</f>
        <v>0</v>
      </c>
    </row>
    <row r="21" spans="1:13" x14ac:dyDescent="0.3">
      <c r="A21" s="299" t="s">
        <v>71</v>
      </c>
      <c r="B21" s="300" t="s">
        <v>86</v>
      </c>
      <c r="C21" s="77" t="s">
        <v>73</v>
      </c>
      <c r="D21" s="114" t="s">
        <v>107</v>
      </c>
      <c r="E21" s="58"/>
      <c r="F21" s="39">
        <v>0.15079999999999999</v>
      </c>
      <c r="G21" s="39">
        <v>0.1961</v>
      </c>
      <c r="H21" s="35">
        <f>+G21-F21</f>
        <v>4.5300000000000007E-2</v>
      </c>
      <c r="I21" s="47">
        <f t="shared" ref="I21:I22" si="6">+ROUND(IF(H21&gt;0,H21*E21,0),4)</f>
        <v>0</v>
      </c>
      <c r="L21" s="65">
        <f>IFERROR(H21-'Nátok z PRDS'!H21,"N/A")</f>
        <v>4.5300000000000007E-2</v>
      </c>
      <c r="M21" s="65">
        <f>IFERROR(H21-'Distribúcia KS v PMDS'!H21,0)</f>
        <v>4.5300000000000007E-2</v>
      </c>
    </row>
    <row r="22" spans="1:13" x14ac:dyDescent="0.3">
      <c r="A22" s="299"/>
      <c r="B22" s="300"/>
      <c r="C22" s="77" t="s">
        <v>80</v>
      </c>
      <c r="D22" s="114"/>
      <c r="E22" s="58"/>
      <c r="F22" s="39"/>
      <c r="G22" s="39"/>
      <c r="H22" s="35">
        <f>+G22-F22</f>
        <v>0</v>
      </c>
      <c r="I22" s="47">
        <f t="shared" si="6"/>
        <v>0</v>
      </c>
      <c r="L22" s="65">
        <f>IFERROR(H22-'Nátok z PRDS'!H22,"N/A")</f>
        <v>0</v>
      </c>
      <c r="M22" s="65">
        <f>IFERROR(H22-'Distribúcia KS v PMDS'!H22,0)</f>
        <v>0</v>
      </c>
    </row>
    <row r="23" spans="1:13" x14ac:dyDescent="0.3">
      <c r="A23" s="299"/>
      <c r="B23" s="300"/>
      <c r="C23" s="77" t="s">
        <v>82</v>
      </c>
      <c r="D23" s="306" t="s">
        <v>75</v>
      </c>
      <c r="E23" s="296">
        <v>0</v>
      </c>
      <c r="F23" s="39">
        <v>3.9839999999999995</v>
      </c>
      <c r="G23" s="39">
        <v>3.5070000000000001</v>
      </c>
      <c r="H23" s="35" t="s">
        <v>76</v>
      </c>
      <c r="I23" s="35" t="s">
        <v>76</v>
      </c>
      <c r="L23" s="65" t="str">
        <f>IFERROR(H23-'Nátok z PRDS'!H23,"N/A")</f>
        <v>N/A</v>
      </c>
      <c r="M23" s="65">
        <f>IFERROR(H23-'Distribúcia KS v PMDS'!H23,0)</f>
        <v>0</v>
      </c>
    </row>
    <row r="24" spans="1:13" x14ac:dyDescent="0.3">
      <c r="A24" s="299"/>
      <c r="B24" s="300"/>
      <c r="C24" s="77" t="s">
        <v>77</v>
      </c>
      <c r="D24" s="307"/>
      <c r="E24" s="296"/>
      <c r="F24" s="39">
        <v>11.466000000000001</v>
      </c>
      <c r="G24" s="39">
        <v>16.826000000000001</v>
      </c>
      <c r="H24" s="35" t="s">
        <v>76</v>
      </c>
      <c r="I24" s="35" t="s">
        <v>76</v>
      </c>
      <c r="L24" s="65" t="str">
        <f>IFERROR(H24-'Nátok z PRDS'!H24,"N/A")</f>
        <v>N/A</v>
      </c>
      <c r="M24" s="65">
        <f>IFERROR(H24-'Distribúcia KS v PMDS'!H24,0)</f>
        <v>0</v>
      </c>
    </row>
    <row r="25" spans="1:13" x14ac:dyDescent="0.3">
      <c r="A25" s="299"/>
      <c r="B25" s="300"/>
      <c r="C25" s="77" t="s">
        <v>83</v>
      </c>
      <c r="D25" s="308"/>
      <c r="E25" s="296"/>
      <c r="F25" s="35">
        <f>+F23+F24</f>
        <v>15.450000000000001</v>
      </c>
      <c r="G25" s="35">
        <f>+G23+G24</f>
        <v>20.333000000000002</v>
      </c>
      <c r="H25" s="35">
        <f>+G25-F25</f>
        <v>4.8830000000000009</v>
      </c>
      <c r="I25" s="47">
        <f>+ROUND(IF(H25&gt;0,H25*E23,0),4)</f>
        <v>0</v>
      </c>
      <c r="L25" s="65">
        <f>IFERROR(H25-'Nátok z PRDS'!H25,"N/A")</f>
        <v>4.8830000000000009</v>
      </c>
      <c r="M25" s="65">
        <f>IFERROR(H25-'Distribúcia KS v PMDS'!H25,0)</f>
        <v>4.8830000000000009</v>
      </c>
    </row>
    <row r="26" spans="1:13" x14ac:dyDescent="0.3">
      <c r="A26" s="299"/>
      <c r="B26" s="300"/>
      <c r="C26" s="77" t="s">
        <v>84</v>
      </c>
      <c r="D26" s="306" t="s">
        <v>75</v>
      </c>
      <c r="E26" s="296">
        <v>0</v>
      </c>
      <c r="F26" s="39"/>
      <c r="G26" s="39"/>
      <c r="H26" s="35" t="s">
        <v>76</v>
      </c>
      <c r="I26" s="35" t="s">
        <v>76</v>
      </c>
      <c r="L26" s="65" t="str">
        <f>IFERROR(H26-'Nátok z PRDS'!H26,"N/A")</f>
        <v>N/A</v>
      </c>
      <c r="M26" s="65">
        <f>IFERROR(H26-'Distribúcia KS v PMDS'!H26,0)</f>
        <v>0</v>
      </c>
    </row>
    <row r="27" spans="1:13" x14ac:dyDescent="0.3">
      <c r="A27" s="299"/>
      <c r="B27" s="300"/>
      <c r="C27" s="77" t="s">
        <v>77</v>
      </c>
      <c r="D27" s="307"/>
      <c r="E27" s="296"/>
      <c r="F27" s="39"/>
      <c r="G27" s="39"/>
      <c r="H27" s="35" t="s">
        <v>76</v>
      </c>
      <c r="I27" s="35" t="s">
        <v>76</v>
      </c>
      <c r="L27" s="65" t="str">
        <f>IFERROR(H27-'Nátok z PRDS'!H27,"N/A")</f>
        <v>N/A</v>
      </c>
      <c r="M27" s="65">
        <f>IFERROR(H27-'Distribúcia KS v PMDS'!H27,0)</f>
        <v>0</v>
      </c>
    </row>
    <row r="28" spans="1:13" x14ac:dyDescent="0.3">
      <c r="A28" s="299"/>
      <c r="B28" s="300"/>
      <c r="C28" s="77" t="s">
        <v>85</v>
      </c>
      <c r="D28" s="308"/>
      <c r="E28" s="296"/>
      <c r="F28" s="35">
        <f>+F26+F27</f>
        <v>0</v>
      </c>
      <c r="G28" s="35">
        <f t="shared" ref="G28" si="7">+G26+G27</f>
        <v>0</v>
      </c>
      <c r="H28" s="35">
        <f>+G28-F28</f>
        <v>0</v>
      </c>
      <c r="I28" s="47">
        <f>+ROUND(IF(H28&gt;0,H28*E26,0),4)</f>
        <v>0</v>
      </c>
      <c r="L28" s="65">
        <f>IFERROR(H28-'Nátok z PRDS'!H28,"N/A")</f>
        <v>0</v>
      </c>
      <c r="M28" s="65">
        <f>IFERROR(H28-'Distribúcia KS v PMDS'!H28,0)</f>
        <v>0</v>
      </c>
    </row>
    <row r="29" spans="1:13" x14ac:dyDescent="0.3">
      <c r="A29" s="299" t="s">
        <v>71</v>
      </c>
      <c r="B29" s="300" t="s">
        <v>87</v>
      </c>
      <c r="C29" s="77" t="s">
        <v>73</v>
      </c>
      <c r="D29" s="114" t="s">
        <v>107</v>
      </c>
      <c r="E29" s="58"/>
      <c r="F29" s="39">
        <v>0.15079999999999999</v>
      </c>
      <c r="G29" s="39">
        <v>0.1961</v>
      </c>
      <c r="H29" s="35">
        <f>+G29-F29</f>
        <v>4.5300000000000007E-2</v>
      </c>
      <c r="I29" s="47">
        <f t="shared" ref="I29" si="8">+ROUND(IF(H29&gt;0,H29*E29,0),4)</f>
        <v>0</v>
      </c>
      <c r="L29" s="65">
        <f>IFERROR(H29-'Nátok z PRDS'!H29,"N/A")</f>
        <v>4.5300000000000007E-2</v>
      </c>
      <c r="M29" s="65">
        <f>IFERROR(H29-'Distribúcia KS v PMDS'!H29,0)</f>
        <v>4.5300000000000007E-2</v>
      </c>
    </row>
    <row r="30" spans="1:13" x14ac:dyDescent="0.3">
      <c r="A30" s="299"/>
      <c r="B30" s="300"/>
      <c r="C30" s="77" t="s">
        <v>82</v>
      </c>
      <c r="D30" s="306" t="s">
        <v>75</v>
      </c>
      <c r="E30" s="296">
        <v>0</v>
      </c>
      <c r="F30" s="39">
        <v>3.9839999999999995</v>
      </c>
      <c r="G30" s="39">
        <v>3.5070000000000001</v>
      </c>
      <c r="H30" s="35" t="s">
        <v>76</v>
      </c>
      <c r="I30" s="35" t="s">
        <v>76</v>
      </c>
      <c r="L30" s="65" t="str">
        <f>IFERROR(H30-'Nátok z PRDS'!H30,"N/A")</f>
        <v>N/A</v>
      </c>
      <c r="M30" s="65">
        <f>IFERROR(H30-'Distribúcia KS v PMDS'!H30,0)</f>
        <v>0</v>
      </c>
    </row>
    <row r="31" spans="1:13" x14ac:dyDescent="0.3">
      <c r="A31" s="299"/>
      <c r="B31" s="300"/>
      <c r="C31" s="77" t="s">
        <v>77</v>
      </c>
      <c r="D31" s="307"/>
      <c r="E31" s="296"/>
      <c r="F31" s="39">
        <v>11.466000000000001</v>
      </c>
      <c r="G31" s="39">
        <v>16.826000000000001</v>
      </c>
      <c r="H31" s="35" t="s">
        <v>76</v>
      </c>
      <c r="I31" s="35" t="s">
        <v>76</v>
      </c>
      <c r="L31" s="65" t="str">
        <f>IFERROR(H31-'Nátok z PRDS'!H31,"N/A")</f>
        <v>N/A</v>
      </c>
      <c r="M31" s="65">
        <f>IFERROR(H31-'Distribúcia KS v PMDS'!H31,0)</f>
        <v>0</v>
      </c>
    </row>
    <row r="32" spans="1:13" x14ac:dyDescent="0.3">
      <c r="A32" s="299"/>
      <c r="B32" s="300"/>
      <c r="C32" s="77" t="s">
        <v>83</v>
      </c>
      <c r="D32" s="308"/>
      <c r="E32" s="296"/>
      <c r="F32" s="35">
        <f>+F30+F31</f>
        <v>15.450000000000001</v>
      </c>
      <c r="G32" s="35">
        <f t="shared" ref="G32" si="9">+G30+G31</f>
        <v>20.333000000000002</v>
      </c>
      <c r="H32" s="35">
        <f>+G32-F32</f>
        <v>4.8830000000000009</v>
      </c>
      <c r="I32" s="47">
        <f>+ROUND(IF(H32&gt;0,H32*E30,0),4)</f>
        <v>0</v>
      </c>
      <c r="L32" s="65">
        <f>IFERROR(H32-'Nátok z PRDS'!H32,"N/A")</f>
        <v>4.8830000000000009</v>
      </c>
      <c r="M32" s="65">
        <f>IFERROR(H32-'Distribúcia KS v PMDS'!H32,0)</f>
        <v>4.8830000000000009</v>
      </c>
    </row>
    <row r="33" spans="1:13" x14ac:dyDescent="0.3">
      <c r="A33" s="299"/>
      <c r="B33" s="300"/>
      <c r="C33" s="77" t="s">
        <v>84</v>
      </c>
      <c r="D33" s="306" t="s">
        <v>75</v>
      </c>
      <c r="E33" s="296">
        <v>0</v>
      </c>
      <c r="F33" s="39"/>
      <c r="G33" s="39"/>
      <c r="H33" s="35" t="s">
        <v>76</v>
      </c>
      <c r="I33" s="35" t="s">
        <v>76</v>
      </c>
      <c r="L33" s="65" t="str">
        <f>IFERROR(H33-'Nátok z PRDS'!H33,"N/A")</f>
        <v>N/A</v>
      </c>
      <c r="M33" s="65">
        <f>IFERROR(H33-'Distribúcia KS v PMDS'!H33,0)</f>
        <v>0</v>
      </c>
    </row>
    <row r="34" spans="1:13" x14ac:dyDescent="0.3">
      <c r="A34" s="299"/>
      <c r="B34" s="300"/>
      <c r="C34" s="77" t="s">
        <v>77</v>
      </c>
      <c r="D34" s="307"/>
      <c r="E34" s="296"/>
      <c r="F34" s="39"/>
      <c r="G34" s="39"/>
      <c r="H34" s="35" t="s">
        <v>76</v>
      </c>
      <c r="I34" s="35" t="s">
        <v>76</v>
      </c>
      <c r="L34" s="65" t="str">
        <f>IFERROR(H34-'Nátok z PRDS'!H34,"N/A")</f>
        <v>N/A</v>
      </c>
      <c r="M34" s="65">
        <f>IFERROR(H34-'Distribúcia KS v PMDS'!H34,0)</f>
        <v>0</v>
      </c>
    </row>
    <row r="35" spans="1:13" x14ac:dyDescent="0.3">
      <c r="A35" s="299"/>
      <c r="B35" s="300"/>
      <c r="C35" s="77" t="s">
        <v>85</v>
      </c>
      <c r="D35" s="308"/>
      <c r="E35" s="296"/>
      <c r="F35" s="35">
        <f>+F33+F34</f>
        <v>0</v>
      </c>
      <c r="G35" s="35">
        <f t="shared" ref="G35" si="10">+G33+G34</f>
        <v>0</v>
      </c>
      <c r="H35" s="35">
        <f>+G35-F35</f>
        <v>0</v>
      </c>
      <c r="I35" s="47">
        <f>+ROUND(IF(H35&gt;0,H35*E33,0),4)</f>
        <v>0</v>
      </c>
      <c r="L35" s="65">
        <f>IFERROR(H35-'Nátok z PRDS'!H35,"N/A")</f>
        <v>0</v>
      </c>
      <c r="M35" s="65">
        <f>IFERROR(H35-'Distribúcia KS v PMDS'!H35,0)</f>
        <v>0</v>
      </c>
    </row>
    <row r="36" spans="1:13" x14ac:dyDescent="0.3">
      <c r="A36" s="299" t="s">
        <v>71</v>
      </c>
      <c r="B36" s="300" t="s">
        <v>88</v>
      </c>
      <c r="C36" s="77" t="s">
        <v>73</v>
      </c>
      <c r="D36" s="114"/>
      <c r="E36" s="58"/>
      <c r="F36" s="39"/>
      <c r="G36" s="39"/>
      <c r="H36" s="35">
        <f>+G36-F36</f>
        <v>0</v>
      </c>
      <c r="I36" s="47">
        <f t="shared" ref="I36" si="11">+ROUND(IF(H36&gt;0,H36*E36,0),4)</f>
        <v>0</v>
      </c>
      <c r="L36" s="65">
        <f>IFERROR(H36-'Nátok z PRDS'!H36,"N/A")</f>
        <v>0</v>
      </c>
      <c r="M36" s="65">
        <f>IFERROR(H36-'Distribúcia KS v PMDS'!H36,0)</f>
        <v>0</v>
      </c>
    </row>
    <row r="37" spans="1:13" x14ac:dyDescent="0.3">
      <c r="A37" s="299"/>
      <c r="B37" s="300"/>
      <c r="C37" s="77" t="s">
        <v>82</v>
      </c>
      <c r="D37" s="306" t="s">
        <v>75</v>
      </c>
      <c r="E37" s="296">
        <v>0</v>
      </c>
      <c r="F37" s="39"/>
      <c r="G37" s="39"/>
      <c r="H37" s="35" t="s">
        <v>76</v>
      </c>
      <c r="I37" s="35" t="s">
        <v>76</v>
      </c>
      <c r="L37" s="65" t="str">
        <f>IFERROR(H37-'Nátok z PRDS'!H37,"N/A")</f>
        <v>N/A</v>
      </c>
      <c r="M37" s="65">
        <f>IFERROR(H37-'Distribúcia KS v PMDS'!H37,0)</f>
        <v>0</v>
      </c>
    </row>
    <row r="38" spans="1:13" x14ac:dyDescent="0.3">
      <c r="A38" s="299"/>
      <c r="B38" s="300"/>
      <c r="C38" s="77" t="s">
        <v>77</v>
      </c>
      <c r="D38" s="307"/>
      <c r="E38" s="296"/>
      <c r="F38" s="39"/>
      <c r="G38" s="39"/>
      <c r="H38" s="35" t="s">
        <v>76</v>
      </c>
      <c r="I38" s="35" t="s">
        <v>76</v>
      </c>
      <c r="L38" s="65" t="str">
        <f>IFERROR(H38-'Nátok z PRDS'!H38,"N/A")</f>
        <v>N/A</v>
      </c>
      <c r="M38" s="65">
        <f>IFERROR(H38-'Distribúcia KS v PMDS'!H38,0)</f>
        <v>0</v>
      </c>
    </row>
    <row r="39" spans="1:13" x14ac:dyDescent="0.3">
      <c r="A39" s="299"/>
      <c r="B39" s="300"/>
      <c r="C39" s="77" t="s">
        <v>83</v>
      </c>
      <c r="D39" s="308"/>
      <c r="E39" s="296"/>
      <c r="F39" s="35">
        <f>+F37+F38</f>
        <v>0</v>
      </c>
      <c r="G39" s="35">
        <f t="shared" ref="G39" si="12">+G37+G38</f>
        <v>0</v>
      </c>
      <c r="H39" s="35">
        <f>+G39-F39</f>
        <v>0</v>
      </c>
      <c r="I39" s="47">
        <f>+ROUND(IF(H39&gt;0,H39*E37,0),4)</f>
        <v>0</v>
      </c>
      <c r="L39" s="65">
        <f>IFERROR(H39-'Nátok z PRDS'!H39,"N/A")</f>
        <v>0</v>
      </c>
      <c r="M39" s="65">
        <f>IFERROR(H39-'Distribúcia KS v PMDS'!H39,0)</f>
        <v>0</v>
      </c>
    </row>
    <row r="40" spans="1:13" x14ac:dyDescent="0.3">
      <c r="A40" s="299"/>
      <c r="B40" s="300"/>
      <c r="C40" s="77" t="s">
        <v>84</v>
      </c>
      <c r="D40" s="306" t="s">
        <v>75</v>
      </c>
      <c r="E40" s="296">
        <v>0</v>
      </c>
      <c r="F40" s="39"/>
      <c r="G40" s="39"/>
      <c r="H40" s="35" t="s">
        <v>76</v>
      </c>
      <c r="I40" s="35" t="s">
        <v>76</v>
      </c>
      <c r="L40" s="65" t="str">
        <f>IFERROR(H40-'Nátok z PRDS'!H40,"N/A")</f>
        <v>N/A</v>
      </c>
      <c r="M40" s="65">
        <f>IFERROR(H40-'Distribúcia KS v PMDS'!H40,0)</f>
        <v>0</v>
      </c>
    </row>
    <row r="41" spans="1:13" x14ac:dyDescent="0.3">
      <c r="A41" s="299"/>
      <c r="B41" s="300"/>
      <c r="C41" s="77" t="s">
        <v>77</v>
      </c>
      <c r="D41" s="307"/>
      <c r="E41" s="296"/>
      <c r="F41" s="39"/>
      <c r="G41" s="39"/>
      <c r="H41" s="35" t="s">
        <v>76</v>
      </c>
      <c r="I41" s="35" t="s">
        <v>76</v>
      </c>
      <c r="L41" s="65" t="str">
        <f>IFERROR(H41-'Nátok z PRDS'!H41,"N/A")</f>
        <v>N/A</v>
      </c>
      <c r="M41" s="65">
        <f>IFERROR(H41-'Distribúcia KS v PMDS'!H41,0)</f>
        <v>0</v>
      </c>
    </row>
    <row r="42" spans="1:13" x14ac:dyDescent="0.3">
      <c r="A42" s="299"/>
      <c r="B42" s="300"/>
      <c r="C42" s="77" t="s">
        <v>85</v>
      </c>
      <c r="D42" s="308"/>
      <c r="E42" s="296"/>
      <c r="F42" s="35">
        <f>+F40+F41</f>
        <v>0</v>
      </c>
      <c r="G42" s="35">
        <f t="shared" ref="G42" si="13">+G40+G41</f>
        <v>0</v>
      </c>
      <c r="H42" s="35">
        <f>+G42-F42</f>
        <v>0</v>
      </c>
      <c r="I42" s="47">
        <f>+ROUND(IF(H42&gt;0,H42*E40,0),4)</f>
        <v>0</v>
      </c>
      <c r="L42" s="65">
        <f>IFERROR(H42-'Nátok z PRDS'!H42,"N/A")</f>
        <v>0</v>
      </c>
      <c r="M42" s="65">
        <f>IFERROR(H42-'Distribúcia KS v PMDS'!H42,0)</f>
        <v>0</v>
      </c>
    </row>
    <row r="43" spans="1:13" x14ac:dyDescent="0.3">
      <c r="A43" s="299" t="s">
        <v>71</v>
      </c>
      <c r="B43" s="300" t="s">
        <v>89</v>
      </c>
      <c r="C43" s="77" t="s">
        <v>73</v>
      </c>
      <c r="D43" s="114"/>
      <c r="E43" s="58"/>
      <c r="F43" s="39"/>
      <c r="G43" s="39"/>
      <c r="H43" s="35">
        <f>+G43-F43</f>
        <v>0</v>
      </c>
      <c r="I43" s="47">
        <f>+ROUND(IF(H43&gt;0,H43*E43,0),4)</f>
        <v>0</v>
      </c>
      <c r="L43" s="65">
        <f>IFERROR(H43-'Nátok z PRDS'!H43,"N/A")</f>
        <v>0</v>
      </c>
      <c r="M43" s="65">
        <f>IFERROR(H43-'Distribúcia KS v PMDS'!H43,0)</f>
        <v>0</v>
      </c>
    </row>
    <row r="44" spans="1:13" x14ac:dyDescent="0.3">
      <c r="A44" s="299"/>
      <c r="B44" s="300"/>
      <c r="C44" s="77" t="s">
        <v>82</v>
      </c>
      <c r="D44" s="306" t="s">
        <v>75</v>
      </c>
      <c r="E44" s="296">
        <v>0</v>
      </c>
      <c r="F44" s="39"/>
      <c r="G44" s="39"/>
      <c r="H44" s="35" t="s">
        <v>76</v>
      </c>
      <c r="I44" s="35" t="s">
        <v>76</v>
      </c>
      <c r="L44" s="65" t="str">
        <f>IFERROR(H44-'Nátok z PRDS'!H44,"N/A")</f>
        <v>N/A</v>
      </c>
      <c r="M44" s="65">
        <f>IFERROR(H44-'Distribúcia KS v PMDS'!H44,0)</f>
        <v>0</v>
      </c>
    </row>
    <row r="45" spans="1:13" x14ac:dyDescent="0.3">
      <c r="A45" s="299"/>
      <c r="B45" s="300"/>
      <c r="C45" s="77" t="s">
        <v>77</v>
      </c>
      <c r="D45" s="307"/>
      <c r="E45" s="296"/>
      <c r="F45" s="39"/>
      <c r="G45" s="39"/>
      <c r="H45" s="35" t="s">
        <v>76</v>
      </c>
      <c r="I45" s="35" t="s">
        <v>76</v>
      </c>
      <c r="L45" s="65" t="str">
        <f>IFERROR(H45-'Nátok z PRDS'!H45,"N/A")</f>
        <v>N/A</v>
      </c>
      <c r="M45" s="65">
        <f>IFERROR(H45-'Distribúcia KS v PMDS'!H45,0)</f>
        <v>0</v>
      </c>
    </row>
    <row r="46" spans="1:13" x14ac:dyDescent="0.3">
      <c r="A46" s="299"/>
      <c r="B46" s="300"/>
      <c r="C46" s="77" t="s">
        <v>83</v>
      </c>
      <c r="D46" s="308"/>
      <c r="E46" s="296"/>
      <c r="F46" s="35">
        <f>+F44+F45</f>
        <v>0</v>
      </c>
      <c r="G46" s="35">
        <f t="shared" ref="G46" si="14">+G44+G45</f>
        <v>0</v>
      </c>
      <c r="H46" s="35">
        <f>+G46-F46</f>
        <v>0</v>
      </c>
      <c r="I46" s="47">
        <f>+ROUND(IF(H46&gt;0,H46*E44,0),4)</f>
        <v>0</v>
      </c>
      <c r="L46" s="65">
        <f>IFERROR(H46-'Nátok z PRDS'!H46,"N/A")</f>
        <v>0</v>
      </c>
      <c r="M46" s="65">
        <f>IFERROR(H46-'Distribúcia KS v PMDS'!H46,0)</f>
        <v>0</v>
      </c>
    </row>
    <row r="47" spans="1:13" x14ac:dyDescent="0.3">
      <c r="A47" s="299"/>
      <c r="B47" s="300"/>
      <c r="C47" s="77" t="s">
        <v>84</v>
      </c>
      <c r="D47" s="306" t="s">
        <v>75</v>
      </c>
      <c r="E47" s="296">
        <v>0</v>
      </c>
      <c r="F47" s="39"/>
      <c r="G47" s="39"/>
      <c r="H47" s="35" t="s">
        <v>76</v>
      </c>
      <c r="I47" s="35" t="s">
        <v>76</v>
      </c>
      <c r="L47" s="65" t="str">
        <f>IFERROR(H47-'Nátok z PRDS'!H47,"N/A")</f>
        <v>N/A</v>
      </c>
      <c r="M47" s="65">
        <f>IFERROR(H47-'Distribúcia KS v PMDS'!H47,0)</f>
        <v>0</v>
      </c>
    </row>
    <row r="48" spans="1:13" x14ac:dyDescent="0.3">
      <c r="A48" s="299"/>
      <c r="B48" s="300"/>
      <c r="C48" s="77" t="s">
        <v>77</v>
      </c>
      <c r="D48" s="307"/>
      <c r="E48" s="296"/>
      <c r="F48" s="39"/>
      <c r="G48" s="39"/>
      <c r="H48" s="35" t="s">
        <v>76</v>
      </c>
      <c r="I48" s="35" t="s">
        <v>76</v>
      </c>
      <c r="L48" s="65" t="str">
        <f>IFERROR(H48-'Nátok z PRDS'!H48,"N/A")</f>
        <v>N/A</v>
      </c>
      <c r="M48" s="65">
        <f>IFERROR(H48-'Distribúcia KS v PMDS'!H48,0)</f>
        <v>0</v>
      </c>
    </row>
    <row r="49" spans="1:13" x14ac:dyDescent="0.3">
      <c r="A49" s="299"/>
      <c r="B49" s="300"/>
      <c r="C49" s="77" t="s">
        <v>85</v>
      </c>
      <c r="D49" s="308"/>
      <c r="E49" s="296"/>
      <c r="F49" s="35">
        <f>+F47+F48</f>
        <v>0</v>
      </c>
      <c r="G49" s="35">
        <f t="shared" ref="G49" si="15">+G47+G48</f>
        <v>0</v>
      </c>
      <c r="H49" s="35">
        <f>+G49-F49</f>
        <v>0</v>
      </c>
      <c r="I49" s="47">
        <f>+ROUND(IF(H49&gt;0,H49*E47,0),4)</f>
        <v>0</v>
      </c>
      <c r="L49" s="65">
        <f>IFERROR(H49-'Nátok z PRDS'!H49,"N/A")</f>
        <v>0</v>
      </c>
      <c r="M49" s="65">
        <f>IFERROR(H49-'Distribúcia KS v PMDS'!H49,0)</f>
        <v>0</v>
      </c>
    </row>
    <row r="50" spans="1:13" x14ac:dyDescent="0.3">
      <c r="A50" s="299" t="s">
        <v>71</v>
      </c>
      <c r="B50" s="300" t="s">
        <v>90</v>
      </c>
      <c r="C50" s="77" t="s">
        <v>73</v>
      </c>
      <c r="D50" s="114"/>
      <c r="E50" s="58"/>
      <c r="F50" s="39"/>
      <c r="G50" s="39"/>
      <c r="H50" s="35">
        <f>+G50-F50</f>
        <v>0</v>
      </c>
      <c r="I50" s="47">
        <f>+ROUND(IF(H50&gt;0,H50*E50,0),4)</f>
        <v>0</v>
      </c>
      <c r="L50" s="65">
        <f>IFERROR(H50-'Nátok z PRDS'!H50,"N/A")</f>
        <v>0</v>
      </c>
      <c r="M50" s="65">
        <f>IFERROR(H50-'Distribúcia KS v PMDS'!H50,0)</f>
        <v>0</v>
      </c>
    </row>
    <row r="51" spans="1:13" x14ac:dyDescent="0.3">
      <c r="A51" s="299"/>
      <c r="B51" s="300"/>
      <c r="C51" s="77" t="s">
        <v>82</v>
      </c>
      <c r="D51" s="306" t="s">
        <v>75</v>
      </c>
      <c r="E51" s="296">
        <v>0</v>
      </c>
      <c r="F51" s="39"/>
      <c r="G51" s="39"/>
      <c r="H51" s="35" t="s">
        <v>76</v>
      </c>
      <c r="I51" s="35" t="s">
        <v>76</v>
      </c>
      <c r="L51" s="65" t="str">
        <f>IFERROR(H51-'Nátok z PRDS'!H51,"N/A")</f>
        <v>N/A</v>
      </c>
      <c r="M51" s="65">
        <f>IFERROR(H51-'Distribúcia KS v PMDS'!H51,0)</f>
        <v>0</v>
      </c>
    </row>
    <row r="52" spans="1:13" x14ac:dyDescent="0.3">
      <c r="A52" s="299"/>
      <c r="B52" s="300"/>
      <c r="C52" s="77" t="s">
        <v>77</v>
      </c>
      <c r="D52" s="307"/>
      <c r="E52" s="296"/>
      <c r="F52" s="39"/>
      <c r="G52" s="39"/>
      <c r="H52" s="35" t="s">
        <v>76</v>
      </c>
      <c r="I52" s="35" t="s">
        <v>76</v>
      </c>
      <c r="L52" s="65" t="str">
        <f>IFERROR(H52-'Nátok z PRDS'!H52,"N/A")</f>
        <v>N/A</v>
      </c>
      <c r="M52" s="65">
        <f>IFERROR(H52-'Distribúcia KS v PMDS'!H52,0)</f>
        <v>0</v>
      </c>
    </row>
    <row r="53" spans="1:13" x14ac:dyDescent="0.3">
      <c r="A53" s="299"/>
      <c r="B53" s="300"/>
      <c r="C53" s="77" t="s">
        <v>83</v>
      </c>
      <c r="D53" s="308"/>
      <c r="E53" s="296"/>
      <c r="F53" s="35">
        <f>+F51+F52</f>
        <v>0</v>
      </c>
      <c r="G53" s="35">
        <f t="shared" ref="G53" si="16">+G51+G52</f>
        <v>0</v>
      </c>
      <c r="H53" s="35">
        <f>+G53-F53</f>
        <v>0</v>
      </c>
      <c r="I53" s="47">
        <f>+ROUND(IF(H53&gt;0,H53*E51,0),4)</f>
        <v>0</v>
      </c>
      <c r="L53" s="65">
        <f>IFERROR(H53-'Nátok z PRDS'!H53,"N/A")</f>
        <v>0</v>
      </c>
      <c r="M53" s="65">
        <f>IFERROR(H53-'Distribúcia KS v PMDS'!H53,0)</f>
        <v>0</v>
      </c>
    </row>
    <row r="54" spans="1:13" x14ac:dyDescent="0.3">
      <c r="A54" s="299"/>
      <c r="B54" s="300"/>
      <c r="C54" s="77" t="s">
        <v>84</v>
      </c>
      <c r="D54" s="306" t="s">
        <v>75</v>
      </c>
      <c r="E54" s="296">
        <v>0</v>
      </c>
      <c r="F54" s="39"/>
      <c r="G54" s="39"/>
      <c r="H54" s="35" t="s">
        <v>76</v>
      </c>
      <c r="I54" s="35" t="s">
        <v>76</v>
      </c>
      <c r="L54" s="65" t="str">
        <f>IFERROR(H54-'Nátok z PRDS'!H54,"N/A")</f>
        <v>N/A</v>
      </c>
      <c r="M54" s="65">
        <f>IFERROR(H54-'Distribúcia KS v PMDS'!H54,0)</f>
        <v>0</v>
      </c>
    </row>
    <row r="55" spans="1:13" x14ac:dyDescent="0.3">
      <c r="A55" s="299"/>
      <c r="B55" s="300"/>
      <c r="C55" s="77" t="s">
        <v>77</v>
      </c>
      <c r="D55" s="307"/>
      <c r="E55" s="296"/>
      <c r="F55" s="39"/>
      <c r="G55" s="39"/>
      <c r="H55" s="35" t="s">
        <v>76</v>
      </c>
      <c r="I55" s="35" t="s">
        <v>76</v>
      </c>
      <c r="L55" s="65" t="str">
        <f>IFERROR(H55-'Nátok z PRDS'!H55,"N/A")</f>
        <v>N/A</v>
      </c>
      <c r="M55" s="65">
        <f>IFERROR(H55-'Distribúcia KS v PMDS'!H55,0)</f>
        <v>0</v>
      </c>
    </row>
    <row r="56" spans="1:13" x14ac:dyDescent="0.3">
      <c r="A56" s="299"/>
      <c r="B56" s="300"/>
      <c r="C56" s="77" t="s">
        <v>85</v>
      </c>
      <c r="D56" s="308"/>
      <c r="E56" s="296"/>
      <c r="F56" s="35">
        <f>+F54+F55</f>
        <v>0</v>
      </c>
      <c r="G56" s="35">
        <f t="shared" ref="G56" si="17">+G54+G55</f>
        <v>0</v>
      </c>
      <c r="H56" s="35">
        <f>+G56-F56</f>
        <v>0</v>
      </c>
      <c r="I56" s="47">
        <f>+ROUND(IF(H56&gt;0,H56*E54,0),4)</f>
        <v>0</v>
      </c>
      <c r="L56" s="65">
        <f>IFERROR(H56-'Nátok z PRDS'!H56,"N/A")</f>
        <v>0</v>
      </c>
      <c r="M56" s="65">
        <f>IFERROR(H56-'Distribúcia KS v PMDS'!H56,0)</f>
        <v>0</v>
      </c>
    </row>
    <row r="57" spans="1:13" x14ac:dyDescent="0.3">
      <c r="A57" s="299" t="s">
        <v>71</v>
      </c>
      <c r="B57" s="300" t="s">
        <v>91</v>
      </c>
      <c r="C57" s="77" t="s">
        <v>73</v>
      </c>
      <c r="D57" s="114"/>
      <c r="E57" s="58"/>
      <c r="F57" s="39"/>
      <c r="G57" s="39"/>
      <c r="H57" s="35">
        <f>+G57-F57</f>
        <v>0</v>
      </c>
      <c r="I57" s="47">
        <f t="shared" ref="I57" si="18">+ROUND(IF(H57&gt;0,H57*E57,0),4)</f>
        <v>0</v>
      </c>
      <c r="L57" s="65">
        <f>IFERROR(H57-'Nátok z PRDS'!H57,"N/A")</f>
        <v>0</v>
      </c>
      <c r="M57" s="65">
        <f>IFERROR(H57-'Distribúcia KS v PMDS'!H57,0)</f>
        <v>0</v>
      </c>
    </row>
    <row r="58" spans="1:13" x14ac:dyDescent="0.3">
      <c r="A58" s="299"/>
      <c r="B58" s="300"/>
      <c r="C58" s="77" t="s">
        <v>82</v>
      </c>
      <c r="D58" s="306" t="s">
        <v>75</v>
      </c>
      <c r="E58" s="296">
        <v>0</v>
      </c>
      <c r="F58" s="39"/>
      <c r="G58" s="39"/>
      <c r="H58" s="35" t="s">
        <v>76</v>
      </c>
      <c r="I58" s="35" t="s">
        <v>76</v>
      </c>
      <c r="L58" s="65" t="str">
        <f>IFERROR(H58-'Nátok z PRDS'!H58,"N/A")</f>
        <v>N/A</v>
      </c>
      <c r="M58" s="65">
        <f>IFERROR(H58-'Distribúcia KS v PMDS'!H58,0)</f>
        <v>0</v>
      </c>
    </row>
    <row r="59" spans="1:13" x14ac:dyDescent="0.3">
      <c r="A59" s="299"/>
      <c r="B59" s="300"/>
      <c r="C59" s="77" t="s">
        <v>77</v>
      </c>
      <c r="D59" s="307"/>
      <c r="E59" s="296"/>
      <c r="F59" s="39"/>
      <c r="G59" s="39"/>
      <c r="H59" s="35" t="s">
        <v>76</v>
      </c>
      <c r="I59" s="35" t="s">
        <v>76</v>
      </c>
      <c r="L59" s="65" t="str">
        <f>IFERROR(H59-'Nátok z PRDS'!H59,"N/A")</f>
        <v>N/A</v>
      </c>
      <c r="M59" s="65">
        <f>IFERROR(H59-'Distribúcia KS v PMDS'!H59,0)</f>
        <v>0</v>
      </c>
    </row>
    <row r="60" spans="1:13" x14ac:dyDescent="0.3">
      <c r="A60" s="299"/>
      <c r="B60" s="300"/>
      <c r="C60" s="77" t="s">
        <v>83</v>
      </c>
      <c r="D60" s="308"/>
      <c r="E60" s="296"/>
      <c r="F60" s="35">
        <f>+F58+F59</f>
        <v>0</v>
      </c>
      <c r="G60" s="35">
        <f t="shared" ref="G60" si="19">+G58+G59</f>
        <v>0</v>
      </c>
      <c r="H60" s="35">
        <f>+G60-F60</f>
        <v>0</v>
      </c>
      <c r="I60" s="47">
        <f>+ROUND(IF(H60&gt;0,H60*E58,0),4)</f>
        <v>0</v>
      </c>
      <c r="L60" s="65">
        <f>IFERROR(H60-'Nátok z PRDS'!H60,"N/A")</f>
        <v>0</v>
      </c>
      <c r="M60" s="65">
        <f>IFERROR(H60-'Distribúcia KS v PMDS'!H60,0)</f>
        <v>0</v>
      </c>
    </row>
    <row r="61" spans="1:13" x14ac:dyDescent="0.3">
      <c r="A61" s="299"/>
      <c r="B61" s="300"/>
      <c r="C61" s="77" t="s">
        <v>84</v>
      </c>
      <c r="D61" s="306" t="s">
        <v>75</v>
      </c>
      <c r="E61" s="296">
        <v>0</v>
      </c>
      <c r="F61" s="39"/>
      <c r="G61" s="39"/>
      <c r="H61" s="35" t="s">
        <v>76</v>
      </c>
      <c r="I61" s="35" t="s">
        <v>76</v>
      </c>
      <c r="L61" s="65" t="str">
        <f>IFERROR(H61-'Nátok z PRDS'!H61,"N/A")</f>
        <v>N/A</v>
      </c>
      <c r="M61" s="65">
        <f>IFERROR(H61-'Distribúcia KS v PMDS'!H61,0)</f>
        <v>0</v>
      </c>
    </row>
    <row r="62" spans="1:13" x14ac:dyDescent="0.3">
      <c r="A62" s="299"/>
      <c r="B62" s="300"/>
      <c r="C62" s="77" t="s">
        <v>77</v>
      </c>
      <c r="D62" s="307"/>
      <c r="E62" s="296"/>
      <c r="F62" s="39"/>
      <c r="G62" s="39"/>
      <c r="H62" s="35" t="s">
        <v>76</v>
      </c>
      <c r="I62" s="35" t="s">
        <v>76</v>
      </c>
      <c r="L62" s="65" t="str">
        <f>IFERROR(H62-'Nátok z PRDS'!H62,"N/A")</f>
        <v>N/A</v>
      </c>
      <c r="M62" s="65">
        <f>IFERROR(H62-'Distribúcia KS v PMDS'!H62,0)</f>
        <v>0</v>
      </c>
    </row>
    <row r="63" spans="1:13" x14ac:dyDescent="0.3">
      <c r="A63" s="299"/>
      <c r="B63" s="300"/>
      <c r="C63" s="77" t="s">
        <v>85</v>
      </c>
      <c r="D63" s="308"/>
      <c r="E63" s="296"/>
      <c r="F63" s="35">
        <f>+F61+F62</f>
        <v>0</v>
      </c>
      <c r="G63" s="35">
        <f t="shared" ref="G63" si="20">+G61+G62</f>
        <v>0</v>
      </c>
      <c r="H63" s="35">
        <f>+G63-F63</f>
        <v>0</v>
      </c>
      <c r="I63" s="47">
        <f>+ROUND(IF(H63&gt;0,H63*E61,0),4)</f>
        <v>0</v>
      </c>
      <c r="L63" s="65">
        <f>IFERROR(H63-'Nátok z PRDS'!H63,"N/A")</f>
        <v>0</v>
      </c>
      <c r="M63" s="65">
        <f>IFERROR(H63-'Distribúcia KS v PMDS'!H63,0)</f>
        <v>0</v>
      </c>
    </row>
    <row r="64" spans="1:13" x14ac:dyDescent="0.3">
      <c r="A64" s="299" t="s">
        <v>92</v>
      </c>
      <c r="B64" s="300" t="s">
        <v>93</v>
      </c>
      <c r="C64" s="77" t="s">
        <v>73</v>
      </c>
      <c r="D64" s="114"/>
      <c r="E64" s="58"/>
      <c r="F64" s="39"/>
      <c r="G64" s="39"/>
      <c r="H64" s="35">
        <f>+G64-F64</f>
        <v>0</v>
      </c>
      <c r="I64" s="47">
        <f t="shared" ref="I64" si="21">+ROUND(IF(H64&gt;0,H64*E64,0),4)</f>
        <v>0</v>
      </c>
      <c r="L64" s="65">
        <f>IFERROR(H64-'Nátok z PRDS'!H64,"N/A")</f>
        <v>0</v>
      </c>
      <c r="M64" s="65">
        <f>IFERROR(H64-'Distribúcia KS v PMDS'!H64,0)</f>
        <v>0</v>
      </c>
    </row>
    <row r="65" spans="1:13" x14ac:dyDescent="0.3">
      <c r="A65" s="299"/>
      <c r="B65" s="300"/>
      <c r="C65" s="77" t="s">
        <v>94</v>
      </c>
      <c r="D65" s="306" t="s">
        <v>75</v>
      </c>
      <c r="E65" s="296">
        <v>0</v>
      </c>
      <c r="F65" s="39"/>
      <c r="G65" s="39"/>
      <c r="H65" s="35" t="s">
        <v>76</v>
      </c>
      <c r="I65" s="35" t="s">
        <v>76</v>
      </c>
      <c r="L65" s="65" t="str">
        <f>IFERROR(H65-'Nátok z PRDS'!H65,"N/A")</f>
        <v>N/A</v>
      </c>
      <c r="M65" s="65">
        <f>IFERROR(H65-'Distribúcia KS v PMDS'!H65,0)</f>
        <v>0</v>
      </c>
    </row>
    <row r="66" spans="1:13" x14ac:dyDescent="0.3">
      <c r="A66" s="299"/>
      <c r="B66" s="300"/>
      <c r="C66" s="77" t="s">
        <v>77</v>
      </c>
      <c r="D66" s="307"/>
      <c r="E66" s="296"/>
      <c r="F66" s="39"/>
      <c r="G66" s="39"/>
      <c r="H66" s="35" t="s">
        <v>76</v>
      </c>
      <c r="I66" s="35" t="s">
        <v>76</v>
      </c>
      <c r="L66" s="65" t="str">
        <f>IFERROR(H66-'Nátok z PRDS'!H66,"N/A")</f>
        <v>N/A</v>
      </c>
      <c r="M66" s="65">
        <f>IFERROR(H66-'Distribúcia KS v PMDS'!H66,0)</f>
        <v>0</v>
      </c>
    </row>
    <row r="67" spans="1:13" x14ac:dyDescent="0.3">
      <c r="A67" s="299"/>
      <c r="B67" s="300"/>
      <c r="C67" s="77" t="s">
        <v>95</v>
      </c>
      <c r="D67" s="308"/>
      <c r="E67" s="296"/>
      <c r="F67" s="35">
        <f>+F65+F66</f>
        <v>0</v>
      </c>
      <c r="G67" s="35">
        <f t="shared" ref="G67" si="22">+G65+G66</f>
        <v>0</v>
      </c>
      <c r="H67" s="35">
        <f>+G67-F67</f>
        <v>0</v>
      </c>
      <c r="I67" s="47">
        <f>+ROUND(IF(H67&gt;0,H67*E65,0),4)</f>
        <v>0</v>
      </c>
      <c r="L67" s="65">
        <f>IFERROR(H67-'Nátok z PRDS'!H67,"N/A")</f>
        <v>0</v>
      </c>
      <c r="M67" s="65">
        <f>IFERROR(H67-'Distribúcia KS v PMDS'!H67,0)</f>
        <v>0</v>
      </c>
    </row>
    <row r="68" spans="1:13" x14ac:dyDescent="0.3">
      <c r="A68" s="299"/>
      <c r="B68" s="300"/>
      <c r="C68" s="77" t="s">
        <v>82</v>
      </c>
      <c r="D68" s="306" t="s">
        <v>75</v>
      </c>
      <c r="E68" s="296">
        <v>0</v>
      </c>
      <c r="F68" s="39"/>
      <c r="G68" s="39"/>
      <c r="H68" s="35" t="s">
        <v>76</v>
      </c>
      <c r="I68" s="35" t="s">
        <v>76</v>
      </c>
      <c r="L68" s="65" t="str">
        <f>IFERROR(H68-'Nátok z PRDS'!H68,"N/A")</f>
        <v>N/A</v>
      </c>
      <c r="M68" s="65">
        <f>IFERROR(H68-'Distribúcia KS v PMDS'!H68,0)</f>
        <v>0</v>
      </c>
    </row>
    <row r="69" spans="1:13" x14ac:dyDescent="0.3">
      <c r="A69" s="299"/>
      <c r="B69" s="300"/>
      <c r="C69" s="77" t="s">
        <v>77</v>
      </c>
      <c r="D69" s="307"/>
      <c r="E69" s="296"/>
      <c r="F69" s="39"/>
      <c r="G69" s="39"/>
      <c r="H69" s="35" t="s">
        <v>76</v>
      </c>
      <c r="I69" s="35" t="s">
        <v>76</v>
      </c>
      <c r="L69" s="65" t="str">
        <f>IFERROR(H69-'Nátok z PRDS'!H69,"N/A")</f>
        <v>N/A</v>
      </c>
      <c r="M69" s="65">
        <f>IFERROR(H69-'Distribúcia KS v PMDS'!H69,0)</f>
        <v>0</v>
      </c>
    </row>
    <row r="70" spans="1:13" x14ac:dyDescent="0.3">
      <c r="A70" s="299"/>
      <c r="B70" s="300"/>
      <c r="C70" s="77" t="s">
        <v>83</v>
      </c>
      <c r="D70" s="308"/>
      <c r="E70" s="296"/>
      <c r="F70" s="35">
        <f>+F68+F69</f>
        <v>0</v>
      </c>
      <c r="G70" s="35">
        <f t="shared" ref="G70" si="23">+G68+G69</f>
        <v>0</v>
      </c>
      <c r="H70" s="35">
        <f>+G70-F70</f>
        <v>0</v>
      </c>
      <c r="I70" s="47">
        <f>+ROUND(IF(H70&gt;0,H70*E68,0),4)</f>
        <v>0</v>
      </c>
      <c r="L70" s="65">
        <f>IFERROR(H70-'Nátok z PRDS'!H70,"N/A")</f>
        <v>0</v>
      </c>
      <c r="M70" s="65">
        <f>IFERROR(H70-'Distribúcia KS v PMDS'!H70,0)</f>
        <v>0</v>
      </c>
    </row>
    <row r="71" spans="1:13" x14ac:dyDescent="0.3">
      <c r="A71" s="299"/>
      <c r="B71" s="300"/>
      <c r="C71" s="77" t="s">
        <v>84</v>
      </c>
      <c r="D71" s="306" t="s">
        <v>75</v>
      </c>
      <c r="E71" s="296">
        <v>0</v>
      </c>
      <c r="F71" s="39"/>
      <c r="G71" s="39"/>
      <c r="H71" s="35" t="s">
        <v>76</v>
      </c>
      <c r="I71" s="35" t="s">
        <v>76</v>
      </c>
      <c r="L71" s="65" t="str">
        <f>IFERROR(H71-'Nátok z PRDS'!H71,"N/A")</f>
        <v>N/A</v>
      </c>
      <c r="M71" s="65">
        <f>IFERROR(H71-'Distribúcia KS v PMDS'!H71,0)</f>
        <v>0</v>
      </c>
    </row>
    <row r="72" spans="1:13" x14ac:dyDescent="0.3">
      <c r="A72" s="299"/>
      <c r="B72" s="300"/>
      <c r="C72" s="77" t="s">
        <v>77</v>
      </c>
      <c r="D72" s="307"/>
      <c r="E72" s="296"/>
      <c r="F72" s="39"/>
      <c r="G72" s="39"/>
      <c r="H72" s="35" t="s">
        <v>76</v>
      </c>
      <c r="I72" s="35" t="s">
        <v>76</v>
      </c>
      <c r="L72" s="65" t="str">
        <f>IFERROR(H72-'Nátok z PRDS'!H72,"N/A")</f>
        <v>N/A</v>
      </c>
      <c r="M72" s="65">
        <f>IFERROR(H72-'Distribúcia KS v PMDS'!H72,0)</f>
        <v>0</v>
      </c>
    </row>
    <row r="73" spans="1:13" x14ac:dyDescent="0.3">
      <c r="A73" s="299"/>
      <c r="B73" s="300"/>
      <c r="C73" s="77" t="s">
        <v>85</v>
      </c>
      <c r="D73" s="308"/>
      <c r="E73" s="296"/>
      <c r="F73" s="35">
        <f>+F71+F72</f>
        <v>0</v>
      </c>
      <c r="G73" s="35">
        <f t="shared" ref="G73" si="24">+G71+G72</f>
        <v>0</v>
      </c>
      <c r="H73" s="35">
        <f>+G73-F73</f>
        <v>0</v>
      </c>
      <c r="I73" s="47">
        <f>+ROUND(IF(H73&gt;0,H73*E71,0),4)</f>
        <v>0</v>
      </c>
      <c r="L73" s="65">
        <f>IFERROR(H73-'Nátok z PRDS'!H73,"N/A")</f>
        <v>0</v>
      </c>
      <c r="M73" s="65">
        <f>IFERROR(H73-'Distribúcia KS v PMDS'!H73,0)</f>
        <v>0</v>
      </c>
    </row>
    <row r="74" spans="1:13" x14ac:dyDescent="0.3">
      <c r="A74" s="299"/>
      <c r="B74" s="300"/>
      <c r="C74" s="77" t="s">
        <v>96</v>
      </c>
      <c r="D74" s="306" t="s">
        <v>75</v>
      </c>
      <c r="E74" s="296">
        <v>0</v>
      </c>
      <c r="F74" s="39"/>
      <c r="G74" s="39"/>
      <c r="H74" s="35" t="s">
        <v>76</v>
      </c>
      <c r="I74" s="35" t="s">
        <v>76</v>
      </c>
      <c r="L74" s="65" t="str">
        <f>IFERROR(H74-'Nátok z PRDS'!H74,"N/A")</f>
        <v>N/A</v>
      </c>
      <c r="M74" s="65">
        <f>IFERROR(H74-'Distribúcia KS v PMDS'!H74,0)</f>
        <v>0</v>
      </c>
    </row>
    <row r="75" spans="1:13" x14ac:dyDescent="0.3">
      <c r="A75" s="299"/>
      <c r="B75" s="300"/>
      <c r="C75" s="77" t="s">
        <v>77</v>
      </c>
      <c r="D75" s="307"/>
      <c r="E75" s="296"/>
      <c r="F75" s="39"/>
      <c r="G75" s="39"/>
      <c r="H75" s="35" t="s">
        <v>76</v>
      </c>
      <c r="I75" s="35" t="s">
        <v>76</v>
      </c>
      <c r="L75" s="65" t="str">
        <f>IFERROR(H75-'Nátok z PRDS'!H75,"N/A")</f>
        <v>N/A</v>
      </c>
      <c r="M75" s="65">
        <f>IFERROR(H75-'Distribúcia KS v PMDS'!H75,0)</f>
        <v>0</v>
      </c>
    </row>
    <row r="76" spans="1:13" x14ac:dyDescent="0.3">
      <c r="A76" s="299"/>
      <c r="B76" s="300"/>
      <c r="C76" s="77" t="s">
        <v>97</v>
      </c>
      <c r="D76" s="308"/>
      <c r="E76" s="296"/>
      <c r="F76" s="35">
        <f>+F74+F75</f>
        <v>0</v>
      </c>
      <c r="G76" s="35">
        <f t="shared" ref="G76" si="25">+G74+G75</f>
        <v>0</v>
      </c>
      <c r="H76" s="35">
        <f>+G76-F76</f>
        <v>0</v>
      </c>
      <c r="I76" s="47">
        <f>+ROUND(IF(H76&gt;0,H76*E74,0),4)</f>
        <v>0</v>
      </c>
      <c r="L76" s="65">
        <f>IFERROR(H76-'Nátok z PRDS'!H76,"N/A")</f>
        <v>0</v>
      </c>
      <c r="M76" s="65">
        <f>IFERROR(H76-'Distribúcia KS v PMDS'!H76,0)</f>
        <v>0</v>
      </c>
    </row>
    <row r="77" spans="1:13" x14ac:dyDescent="0.3">
      <c r="A77" s="314" t="s">
        <v>71</v>
      </c>
      <c r="B77" s="315" t="s">
        <v>103</v>
      </c>
      <c r="C77" s="103" t="s">
        <v>73</v>
      </c>
      <c r="D77" s="110" t="s">
        <v>76</v>
      </c>
      <c r="E77" s="49" t="s">
        <v>76</v>
      </c>
      <c r="F77" s="49" t="s">
        <v>76</v>
      </c>
      <c r="G77" s="49" t="s">
        <v>76</v>
      </c>
      <c r="H77" s="49" t="s">
        <v>76</v>
      </c>
      <c r="I77" s="49">
        <f>+I5+I9+I10+I14+I21+I22+I29+I36+I43+I50+I57+I64</f>
        <v>0</v>
      </c>
      <c r="L77" s="65" t="str">
        <f>IFERROR(H77-'Nátok z PRDS'!H77,"N/A")</f>
        <v>N/A</v>
      </c>
      <c r="M77" s="65">
        <f>IFERROR(H77-'Distribúcia KS v PMDS'!H77,0)</f>
        <v>0</v>
      </c>
    </row>
    <row r="78" spans="1:13" x14ac:dyDescent="0.3">
      <c r="A78" s="314"/>
      <c r="B78" s="315"/>
      <c r="C78" s="103" t="s">
        <v>78</v>
      </c>
      <c r="D78" s="110"/>
      <c r="E78" s="49">
        <f>SUM(E6,E11,E15,E18,E23,E26,E30,E33,E37,E40,E44,E47,E51,E54,E58,E61,E65,E68,E71,E74)</f>
        <v>0</v>
      </c>
      <c r="F78" s="49" t="s">
        <v>76</v>
      </c>
      <c r="G78" s="49" t="s">
        <v>76</v>
      </c>
      <c r="H78" s="49" t="s">
        <v>76</v>
      </c>
      <c r="I78" s="49">
        <f>+I8+I13+I17+I20+I25+I28+I32+I35+I39+I42+I46+I49+I53+I56+I60+I63+I67+I70+I73+I76</f>
        <v>0</v>
      </c>
      <c r="L78" s="65" t="str">
        <f>IFERROR(H78-'Nátok z PRDS'!H78,"N/A")</f>
        <v>N/A</v>
      </c>
      <c r="M78" s="65">
        <f>IFERROR(H78-'Distribúcia KS v PMDS'!H78,0)</f>
        <v>0</v>
      </c>
    </row>
    <row r="79" spans="1:13" x14ac:dyDescent="0.3">
      <c r="A79" s="299" t="s">
        <v>104</v>
      </c>
      <c r="B79" s="300" t="s">
        <v>105</v>
      </c>
      <c r="C79" s="77" t="s">
        <v>106</v>
      </c>
      <c r="D79" s="114" t="s">
        <v>107</v>
      </c>
      <c r="E79" s="58"/>
      <c r="F79" s="39"/>
      <c r="G79" s="39"/>
      <c r="H79" s="35">
        <f>+G79-F79</f>
        <v>0</v>
      </c>
      <c r="I79" s="47">
        <f>+ROUND(IF(H79&gt;0,H79*E79,0),4)</f>
        <v>0</v>
      </c>
      <c r="L79" s="65">
        <f>IFERROR(H79-'Nátok z PRDS'!H79,"N/A")</f>
        <v>0</v>
      </c>
      <c r="M79" s="65">
        <f>IFERROR(H79-'Distribúcia KS v PMDS'!H79,0)</f>
        <v>0</v>
      </c>
    </row>
    <row r="80" spans="1:13" x14ac:dyDescent="0.3">
      <c r="A80" s="299"/>
      <c r="B80" s="300"/>
      <c r="C80" s="77" t="s">
        <v>108</v>
      </c>
      <c r="D80" s="114" t="s">
        <v>109</v>
      </c>
      <c r="E80" s="58"/>
      <c r="F80" s="39"/>
      <c r="G80" s="39"/>
      <c r="H80" s="35">
        <f>+G80-F80</f>
        <v>0</v>
      </c>
      <c r="I80" s="47">
        <f>+ROUND(IF(H80&gt;0,H80*E80,0),4)</f>
        <v>0</v>
      </c>
      <c r="L80" s="65">
        <f>IFERROR(H80-'Nátok z PRDS'!H80,"N/A")</f>
        <v>0</v>
      </c>
      <c r="M80" s="65">
        <f>IFERROR(H80-'Distribúcia KS v PMDS'!H80,0)</f>
        <v>0</v>
      </c>
    </row>
    <row r="81" spans="1:13" x14ac:dyDescent="0.3">
      <c r="A81" s="299"/>
      <c r="B81" s="300"/>
      <c r="C81" s="77" t="s">
        <v>74</v>
      </c>
      <c r="D81" s="306" t="s">
        <v>75</v>
      </c>
      <c r="E81" s="296">
        <f>+E82</f>
        <v>0</v>
      </c>
      <c r="F81" s="39"/>
      <c r="G81" s="39"/>
      <c r="H81" s="35" t="s">
        <v>76</v>
      </c>
      <c r="I81" s="35" t="s">
        <v>76</v>
      </c>
      <c r="L81" s="65" t="str">
        <f>IFERROR(H81-'Nátok z PRDS'!H81,"N/A")</f>
        <v>N/A</v>
      </c>
      <c r="M81" s="65">
        <f>IFERROR(H81-'Distribúcia KS v PMDS'!H81,0)</f>
        <v>0</v>
      </c>
    </row>
    <row r="82" spans="1:13" x14ac:dyDescent="0.3">
      <c r="A82" s="299"/>
      <c r="B82" s="300"/>
      <c r="C82" s="77" t="s">
        <v>77</v>
      </c>
      <c r="D82" s="307"/>
      <c r="E82" s="296"/>
      <c r="F82" s="39"/>
      <c r="G82" s="39"/>
      <c r="H82" s="35" t="s">
        <v>76</v>
      </c>
      <c r="I82" s="35" t="s">
        <v>76</v>
      </c>
      <c r="L82" s="65" t="str">
        <f>IFERROR(H82-'Nátok z PRDS'!H82,"N/A")</f>
        <v>N/A</v>
      </c>
      <c r="M82" s="65">
        <f>IFERROR(H82-'Distribúcia KS v PMDS'!H82,0)</f>
        <v>0</v>
      </c>
    </row>
    <row r="83" spans="1:13" x14ac:dyDescent="0.3">
      <c r="A83" s="299"/>
      <c r="B83" s="300"/>
      <c r="C83" s="77" t="s">
        <v>78</v>
      </c>
      <c r="D83" s="308"/>
      <c r="E83" s="296"/>
      <c r="F83" s="35">
        <f>+F81+F82</f>
        <v>0</v>
      </c>
      <c r="G83" s="35">
        <f t="shared" ref="G83" si="26">+G81+G82</f>
        <v>0</v>
      </c>
      <c r="H83" s="35">
        <f>+G83-F83</f>
        <v>0</v>
      </c>
      <c r="I83" s="47">
        <f>+ROUND(IF(H83&gt;0,H83*E81,0),4)</f>
        <v>0</v>
      </c>
      <c r="L83" s="65">
        <f>IFERROR(H83-'Nátok z PRDS'!H83,"N/A")</f>
        <v>0</v>
      </c>
      <c r="M83" s="65">
        <f>IFERROR(H83-'Distribúcia KS v PMDS'!H83,0)</f>
        <v>0</v>
      </c>
    </row>
    <row r="84" spans="1:13" x14ac:dyDescent="0.3">
      <c r="A84" s="299" t="s">
        <v>104</v>
      </c>
      <c r="B84" s="300" t="s">
        <v>110</v>
      </c>
      <c r="C84" s="77" t="s">
        <v>106</v>
      </c>
      <c r="D84" s="114" t="s">
        <v>107</v>
      </c>
      <c r="E84" s="58"/>
      <c r="F84" s="39">
        <v>0.22020000000000001</v>
      </c>
      <c r="G84" s="39">
        <v>0.24199999999999999</v>
      </c>
      <c r="H84" s="35">
        <f>+G84-F84</f>
        <v>2.1799999999999986E-2</v>
      </c>
      <c r="I84" s="47">
        <f t="shared" ref="I84:I85" si="27">+ROUND(IF(H84&gt;0,H84*E84,0),4)</f>
        <v>0</v>
      </c>
      <c r="L84" s="65">
        <f>IFERROR(H84-'Nátok z PRDS'!H84,"N/A")</f>
        <v>2.1799999999999986E-2</v>
      </c>
      <c r="M84" s="65">
        <f>IFERROR(H84-'Distribúcia KS v PMDS'!H84,0)</f>
        <v>2.1799999999999986E-2</v>
      </c>
    </row>
    <row r="85" spans="1:13" x14ac:dyDescent="0.3">
      <c r="A85" s="299"/>
      <c r="B85" s="300"/>
      <c r="C85" s="77" t="s">
        <v>108</v>
      </c>
      <c r="D85" s="114" t="s">
        <v>109</v>
      </c>
      <c r="E85" s="58"/>
      <c r="F85" s="39">
        <v>0.95740000000000003</v>
      </c>
      <c r="G85" s="39">
        <v>1.0522</v>
      </c>
      <c r="H85" s="35">
        <f>+G85-F85</f>
        <v>9.4799999999999995E-2</v>
      </c>
      <c r="I85" s="47">
        <f t="shared" si="27"/>
        <v>0</v>
      </c>
      <c r="L85" s="65">
        <f>IFERROR(H85-'Nátok z PRDS'!H85,"N/A")</f>
        <v>9.4799999999999995E-2</v>
      </c>
      <c r="M85" s="65">
        <f>IFERROR(H85-'Distribúcia KS v PMDS'!H85,0)</f>
        <v>9.4799999999999995E-2</v>
      </c>
    </row>
    <row r="86" spans="1:13" x14ac:dyDescent="0.3">
      <c r="A86" s="299"/>
      <c r="B86" s="300"/>
      <c r="C86" s="77" t="s">
        <v>74</v>
      </c>
      <c r="D86" s="306" t="s">
        <v>75</v>
      </c>
      <c r="E86" s="296">
        <f>+E87</f>
        <v>0</v>
      </c>
      <c r="F86" s="39">
        <v>24.730999999999998</v>
      </c>
      <c r="G86" s="39">
        <v>24.670999999999999</v>
      </c>
      <c r="H86" s="35" t="s">
        <v>76</v>
      </c>
      <c r="I86" s="35" t="s">
        <v>76</v>
      </c>
      <c r="L86" s="65" t="str">
        <f>IFERROR(H86-'Nátok z PRDS'!H86,"N/A")</f>
        <v>N/A</v>
      </c>
      <c r="M86" s="65">
        <f>IFERROR(H86-'Distribúcia KS v PMDS'!H86,0)</f>
        <v>0</v>
      </c>
    </row>
    <row r="87" spans="1:13" x14ac:dyDescent="0.3">
      <c r="A87" s="299"/>
      <c r="B87" s="300"/>
      <c r="C87" s="77" t="s">
        <v>77</v>
      </c>
      <c r="D87" s="307"/>
      <c r="E87" s="296"/>
      <c r="F87" s="39">
        <v>11.466000000000001</v>
      </c>
      <c r="G87" s="39">
        <v>16.826000000000001</v>
      </c>
      <c r="H87" s="35" t="s">
        <v>76</v>
      </c>
      <c r="I87" s="35" t="s">
        <v>76</v>
      </c>
      <c r="L87" s="65" t="str">
        <f>IFERROR(H87-'Nátok z PRDS'!H87,"N/A")</f>
        <v>N/A</v>
      </c>
      <c r="M87" s="65">
        <f>IFERROR(H87-'Distribúcia KS v PMDS'!H87,0)</f>
        <v>0</v>
      </c>
    </row>
    <row r="88" spans="1:13" x14ac:dyDescent="0.3">
      <c r="A88" s="299"/>
      <c r="B88" s="300"/>
      <c r="C88" s="77" t="s">
        <v>78</v>
      </c>
      <c r="D88" s="308"/>
      <c r="E88" s="296"/>
      <c r="F88" s="35">
        <f>+F86+F87</f>
        <v>36.197000000000003</v>
      </c>
      <c r="G88" s="35">
        <f t="shared" ref="G88" si="28">+G86+G87</f>
        <v>41.497</v>
      </c>
      <c r="H88" s="35">
        <f>+G88-F88</f>
        <v>5.2999999999999972</v>
      </c>
      <c r="I88" s="47">
        <f>+ROUND(IF(H88&gt;0,H88*E86,0),4)</f>
        <v>0</v>
      </c>
      <c r="L88" s="65">
        <f>IFERROR(H88-'Nátok z PRDS'!H88,"N/A")</f>
        <v>5.2999999999999972</v>
      </c>
      <c r="M88" s="65">
        <f>IFERROR(H88-'Distribúcia KS v PMDS'!H88,0)</f>
        <v>5.2999999999999972</v>
      </c>
    </row>
    <row r="89" spans="1:13" x14ac:dyDescent="0.3">
      <c r="A89" s="299" t="s">
        <v>104</v>
      </c>
      <c r="B89" s="300" t="s">
        <v>111</v>
      </c>
      <c r="C89" s="77" t="s">
        <v>106</v>
      </c>
      <c r="D89" s="114" t="s">
        <v>107</v>
      </c>
      <c r="E89" s="58"/>
      <c r="F89" s="39"/>
      <c r="G89" s="39"/>
      <c r="H89" s="35">
        <f>+G89-F89</f>
        <v>0</v>
      </c>
      <c r="I89" s="47">
        <f t="shared" ref="I89:I90" si="29">+ROUND(IF(H89&gt;0,H89*E89,0),4)</f>
        <v>0</v>
      </c>
      <c r="L89" s="65">
        <f>IFERROR(H89-'Nátok z PRDS'!H89,"N/A")</f>
        <v>0</v>
      </c>
      <c r="M89" s="65">
        <f>IFERROR(H89-'Distribúcia KS v PMDS'!H89,0)</f>
        <v>0</v>
      </c>
    </row>
    <row r="90" spans="1:13" x14ac:dyDescent="0.3">
      <c r="A90" s="299"/>
      <c r="B90" s="300"/>
      <c r="C90" s="77" t="s">
        <v>108</v>
      </c>
      <c r="D90" s="114" t="s">
        <v>109</v>
      </c>
      <c r="E90" s="58"/>
      <c r="F90" s="39"/>
      <c r="G90" s="39"/>
      <c r="H90" s="35">
        <f>+G90-F90</f>
        <v>0</v>
      </c>
      <c r="I90" s="47">
        <f t="shared" si="29"/>
        <v>0</v>
      </c>
      <c r="L90" s="65">
        <f>IFERROR(H90-'Nátok z PRDS'!H90,"N/A")</f>
        <v>0</v>
      </c>
      <c r="M90" s="65">
        <f>IFERROR(H90-'Distribúcia KS v PMDS'!H90,0)</f>
        <v>0</v>
      </c>
    </row>
    <row r="91" spans="1:13" x14ac:dyDescent="0.3">
      <c r="A91" s="299"/>
      <c r="B91" s="300"/>
      <c r="C91" s="77" t="s">
        <v>74</v>
      </c>
      <c r="D91" s="306" t="s">
        <v>75</v>
      </c>
      <c r="E91" s="296">
        <f>+E92</f>
        <v>0</v>
      </c>
      <c r="F91" s="39"/>
      <c r="G91" s="39"/>
      <c r="H91" s="35" t="s">
        <v>76</v>
      </c>
      <c r="I91" s="35" t="s">
        <v>76</v>
      </c>
      <c r="L91" s="65" t="str">
        <f>IFERROR(H91-'Nátok z PRDS'!H91,"N/A")</f>
        <v>N/A</v>
      </c>
      <c r="M91" s="65">
        <f>IFERROR(H91-'Distribúcia KS v PMDS'!H91,0)</f>
        <v>0</v>
      </c>
    </row>
    <row r="92" spans="1:13" x14ac:dyDescent="0.3">
      <c r="A92" s="299"/>
      <c r="B92" s="300"/>
      <c r="C92" s="77" t="s">
        <v>77</v>
      </c>
      <c r="D92" s="307"/>
      <c r="E92" s="296"/>
      <c r="F92" s="39"/>
      <c r="G92" s="39"/>
      <c r="H92" s="35" t="s">
        <v>76</v>
      </c>
      <c r="I92" s="35" t="s">
        <v>76</v>
      </c>
      <c r="L92" s="65" t="str">
        <f>IFERROR(H92-'Nátok z PRDS'!H92,"N/A")</f>
        <v>N/A</v>
      </c>
      <c r="M92" s="65">
        <f>IFERROR(H92-'Distribúcia KS v PMDS'!H92,0)</f>
        <v>0</v>
      </c>
    </row>
    <row r="93" spans="1:13" x14ac:dyDescent="0.3">
      <c r="A93" s="299"/>
      <c r="B93" s="300"/>
      <c r="C93" s="77" t="s">
        <v>78</v>
      </c>
      <c r="D93" s="308"/>
      <c r="E93" s="296"/>
      <c r="F93" s="35">
        <f>+F91+F92</f>
        <v>0</v>
      </c>
      <c r="G93" s="35">
        <f t="shared" ref="G93" si="30">+G91+G92</f>
        <v>0</v>
      </c>
      <c r="H93" s="35">
        <f>+G93-F93</f>
        <v>0</v>
      </c>
      <c r="I93" s="47">
        <f>+ROUND(IF(H93&gt;0,H93*E91,0),4)</f>
        <v>0</v>
      </c>
      <c r="L93" s="65">
        <f>IFERROR(H93-'Nátok z PRDS'!H93,"N/A")</f>
        <v>0</v>
      </c>
      <c r="M93" s="65">
        <f>IFERROR(H93-'Distribúcia KS v PMDS'!H93,0)</f>
        <v>0</v>
      </c>
    </row>
    <row r="94" spans="1:13" x14ac:dyDescent="0.3">
      <c r="A94" s="299" t="s">
        <v>104</v>
      </c>
      <c r="B94" s="300" t="s">
        <v>112</v>
      </c>
      <c r="C94" s="77" t="s">
        <v>106</v>
      </c>
      <c r="D94" s="114" t="s">
        <v>107</v>
      </c>
      <c r="E94" s="58"/>
      <c r="F94" s="39"/>
      <c r="G94" s="39"/>
      <c r="H94" s="35">
        <f>+G94-F94</f>
        <v>0</v>
      </c>
      <c r="I94" s="47">
        <f>+ROUND(IF(H94&gt;0,H94*E94,0),4)</f>
        <v>0</v>
      </c>
      <c r="L94" s="65">
        <f>IFERROR(H94-'Nátok z PRDS'!H94,"N/A")</f>
        <v>0</v>
      </c>
      <c r="M94" s="65">
        <f>IFERROR(H94-'Distribúcia KS v PMDS'!H94,0)</f>
        <v>0</v>
      </c>
    </row>
    <row r="95" spans="1:13" x14ac:dyDescent="0.3">
      <c r="A95" s="299"/>
      <c r="B95" s="300"/>
      <c r="C95" s="77" t="s">
        <v>108</v>
      </c>
      <c r="D95" s="114" t="s">
        <v>109</v>
      </c>
      <c r="E95" s="58"/>
      <c r="F95" s="39"/>
      <c r="G95" s="39"/>
      <c r="H95" s="35">
        <f>+G95-F95</f>
        <v>0</v>
      </c>
      <c r="I95" s="47">
        <f>+ROUND(IF(H95&gt;0,H95*E95,0),4)</f>
        <v>0</v>
      </c>
      <c r="L95" s="65">
        <f>IFERROR(H95-'Nátok z PRDS'!H95,"N/A")</f>
        <v>0</v>
      </c>
      <c r="M95" s="65">
        <f>IFERROR(H95-'Distribúcia KS v PMDS'!H95,0)</f>
        <v>0</v>
      </c>
    </row>
    <row r="96" spans="1:13" x14ac:dyDescent="0.3">
      <c r="A96" s="299"/>
      <c r="B96" s="300"/>
      <c r="C96" s="77" t="s">
        <v>82</v>
      </c>
      <c r="D96" s="306" t="s">
        <v>75</v>
      </c>
      <c r="E96" s="296">
        <v>0</v>
      </c>
      <c r="F96" s="39"/>
      <c r="G96" s="39"/>
      <c r="H96" s="35" t="s">
        <v>76</v>
      </c>
      <c r="I96" s="35" t="s">
        <v>76</v>
      </c>
      <c r="L96" s="65" t="str">
        <f>IFERROR(H96-'Nátok z PRDS'!H96,"N/A")</f>
        <v>N/A</v>
      </c>
      <c r="M96" s="65">
        <f>IFERROR(H96-'Distribúcia KS v PMDS'!H96,0)</f>
        <v>0</v>
      </c>
    </row>
    <row r="97" spans="1:13" x14ac:dyDescent="0.3">
      <c r="A97" s="299"/>
      <c r="B97" s="300"/>
      <c r="C97" s="77" t="s">
        <v>77</v>
      </c>
      <c r="D97" s="307"/>
      <c r="E97" s="296"/>
      <c r="F97" s="39"/>
      <c r="G97" s="39"/>
      <c r="H97" s="35" t="s">
        <v>76</v>
      </c>
      <c r="I97" s="35" t="s">
        <v>76</v>
      </c>
      <c r="L97" s="65" t="str">
        <f>IFERROR(H97-'Nátok z PRDS'!H97,"N/A")</f>
        <v>N/A</v>
      </c>
      <c r="M97" s="65">
        <f>IFERROR(H97-'Distribúcia KS v PMDS'!H97,0)</f>
        <v>0</v>
      </c>
    </row>
    <row r="98" spans="1:13" x14ac:dyDescent="0.3">
      <c r="A98" s="299"/>
      <c r="B98" s="300"/>
      <c r="C98" s="77" t="s">
        <v>83</v>
      </c>
      <c r="D98" s="308"/>
      <c r="E98" s="296"/>
      <c r="F98" s="35">
        <f>+F96+F97</f>
        <v>0</v>
      </c>
      <c r="G98" s="35">
        <f t="shared" ref="G98" si="31">+G96+G97</f>
        <v>0</v>
      </c>
      <c r="H98" s="35">
        <f>+G98-F98</f>
        <v>0</v>
      </c>
      <c r="I98" s="47">
        <f>+ROUND(IF(H98&gt;0,H98*E96,0),4)</f>
        <v>0</v>
      </c>
      <c r="L98" s="65">
        <f>IFERROR(H98-'Nátok z PRDS'!H98,"N/A")</f>
        <v>0</v>
      </c>
      <c r="M98" s="65">
        <f>IFERROR(H98-'Distribúcia KS v PMDS'!H98,0)</f>
        <v>0</v>
      </c>
    </row>
    <row r="99" spans="1:13" x14ac:dyDescent="0.3">
      <c r="A99" s="299"/>
      <c r="B99" s="300"/>
      <c r="C99" s="77" t="s">
        <v>84</v>
      </c>
      <c r="D99" s="306" t="s">
        <v>75</v>
      </c>
      <c r="E99" s="296">
        <v>0</v>
      </c>
      <c r="F99" s="39"/>
      <c r="G99" s="39"/>
      <c r="H99" s="35" t="s">
        <v>76</v>
      </c>
      <c r="I99" s="35" t="s">
        <v>76</v>
      </c>
      <c r="L99" s="65" t="str">
        <f>IFERROR(H99-'Nátok z PRDS'!H99,"N/A")</f>
        <v>N/A</v>
      </c>
      <c r="M99" s="65">
        <f>IFERROR(H99-'Distribúcia KS v PMDS'!H99,0)</f>
        <v>0</v>
      </c>
    </row>
    <row r="100" spans="1:13" x14ac:dyDescent="0.3">
      <c r="A100" s="299"/>
      <c r="B100" s="300"/>
      <c r="C100" s="77" t="s">
        <v>77</v>
      </c>
      <c r="D100" s="307"/>
      <c r="E100" s="296"/>
      <c r="F100" s="39"/>
      <c r="G100" s="39"/>
      <c r="H100" s="35" t="s">
        <v>76</v>
      </c>
      <c r="I100" s="35" t="s">
        <v>76</v>
      </c>
      <c r="L100" s="65" t="str">
        <f>IFERROR(H100-'Nátok z PRDS'!H100,"N/A")</f>
        <v>N/A</v>
      </c>
      <c r="M100" s="65">
        <f>IFERROR(H100-'Distribúcia KS v PMDS'!H100,0)</f>
        <v>0</v>
      </c>
    </row>
    <row r="101" spans="1:13" x14ac:dyDescent="0.3">
      <c r="A101" s="299"/>
      <c r="B101" s="300"/>
      <c r="C101" s="77" t="s">
        <v>85</v>
      </c>
      <c r="D101" s="308"/>
      <c r="E101" s="296"/>
      <c r="F101" s="35">
        <f>+F99+F100</f>
        <v>0</v>
      </c>
      <c r="G101" s="35">
        <f t="shared" ref="G101" si="32">+G99+G100</f>
        <v>0</v>
      </c>
      <c r="H101" s="35">
        <f>+G101-F101</f>
        <v>0</v>
      </c>
      <c r="I101" s="47">
        <f>+ROUND(IF(H101&gt;0,H101*E99,0),4)</f>
        <v>0</v>
      </c>
      <c r="L101" s="65">
        <f>IFERROR(H101-'Nátok z PRDS'!H101,"N/A")</f>
        <v>0</v>
      </c>
      <c r="M101" s="65">
        <f>IFERROR(H101-'Distribúcia KS v PMDS'!H101,0)</f>
        <v>0</v>
      </c>
    </row>
    <row r="102" spans="1:13" x14ac:dyDescent="0.3">
      <c r="A102" s="299" t="s">
        <v>104</v>
      </c>
      <c r="B102" s="300" t="s">
        <v>113</v>
      </c>
      <c r="C102" s="77" t="s">
        <v>106</v>
      </c>
      <c r="D102" s="114" t="s">
        <v>107</v>
      </c>
      <c r="E102" s="58"/>
      <c r="F102" s="39"/>
      <c r="G102" s="39"/>
      <c r="H102" s="35">
        <f>+G102-F102</f>
        <v>0</v>
      </c>
      <c r="I102" s="47">
        <f t="shared" ref="I102" si="33">+ROUND(IF(H102&gt;0,H102*E102,0),4)</f>
        <v>0</v>
      </c>
      <c r="L102" s="65">
        <f>IFERROR(H102-'Nátok z PRDS'!H102,"N/A")</f>
        <v>0</v>
      </c>
      <c r="M102" s="65">
        <f>IFERROR(H102-'Distribúcia KS v PMDS'!H102,0)</f>
        <v>0</v>
      </c>
    </row>
    <row r="103" spans="1:13" x14ac:dyDescent="0.3">
      <c r="A103" s="299"/>
      <c r="B103" s="300"/>
      <c r="C103" s="77" t="s">
        <v>108</v>
      </c>
      <c r="D103" s="114" t="s">
        <v>109</v>
      </c>
      <c r="E103" s="58"/>
      <c r="F103" s="39"/>
      <c r="G103" s="39"/>
      <c r="H103" s="35">
        <f>+G103-F103</f>
        <v>0</v>
      </c>
      <c r="I103" s="47">
        <f>+ROUND(IF(H103&gt;0,H103*E103,0),4)</f>
        <v>0</v>
      </c>
      <c r="L103" s="65">
        <f>IFERROR(H103-'Nátok z PRDS'!H103,"N/A")</f>
        <v>0</v>
      </c>
      <c r="M103" s="65">
        <f>IFERROR(H103-'Distribúcia KS v PMDS'!H103,0)</f>
        <v>0</v>
      </c>
    </row>
    <row r="104" spans="1:13" x14ac:dyDescent="0.3">
      <c r="A104" s="299"/>
      <c r="B104" s="300"/>
      <c r="C104" s="77" t="s">
        <v>82</v>
      </c>
      <c r="D104" s="306" t="s">
        <v>75</v>
      </c>
      <c r="E104" s="296">
        <v>0</v>
      </c>
      <c r="F104" s="39"/>
      <c r="G104" s="39"/>
      <c r="H104" s="35" t="s">
        <v>76</v>
      </c>
      <c r="I104" s="35" t="s">
        <v>76</v>
      </c>
      <c r="L104" s="65" t="str">
        <f>IFERROR(H104-'Nátok z PRDS'!H104,"N/A")</f>
        <v>N/A</v>
      </c>
      <c r="M104" s="65">
        <f>IFERROR(H104-'Distribúcia KS v PMDS'!H104,0)</f>
        <v>0</v>
      </c>
    </row>
    <row r="105" spans="1:13" x14ac:dyDescent="0.3">
      <c r="A105" s="299"/>
      <c r="B105" s="300"/>
      <c r="C105" s="77" t="s">
        <v>77</v>
      </c>
      <c r="D105" s="307"/>
      <c r="E105" s="296"/>
      <c r="F105" s="39"/>
      <c r="G105" s="39"/>
      <c r="H105" s="35" t="s">
        <v>76</v>
      </c>
      <c r="I105" s="35" t="s">
        <v>76</v>
      </c>
      <c r="L105" s="65" t="str">
        <f>IFERROR(H105-'Nátok z PRDS'!H105,"N/A")</f>
        <v>N/A</v>
      </c>
      <c r="M105" s="65">
        <f>IFERROR(H105-'Distribúcia KS v PMDS'!H105,0)</f>
        <v>0</v>
      </c>
    </row>
    <row r="106" spans="1:13" x14ac:dyDescent="0.3">
      <c r="A106" s="299"/>
      <c r="B106" s="300"/>
      <c r="C106" s="77" t="s">
        <v>83</v>
      </c>
      <c r="D106" s="308"/>
      <c r="E106" s="296"/>
      <c r="F106" s="35">
        <f>+F104+F105</f>
        <v>0</v>
      </c>
      <c r="G106" s="35">
        <f t="shared" ref="G106" si="34">+G104+G105</f>
        <v>0</v>
      </c>
      <c r="H106" s="35">
        <f>+G106-F106</f>
        <v>0</v>
      </c>
      <c r="I106" s="47">
        <f>+ROUND(IF(H106&gt;0,H106*E104,0),4)</f>
        <v>0</v>
      </c>
      <c r="L106" s="65">
        <f>IFERROR(H106-'Nátok z PRDS'!H106,"N/A")</f>
        <v>0</v>
      </c>
      <c r="M106" s="65">
        <f>IFERROR(H106-'Distribúcia KS v PMDS'!H106,0)</f>
        <v>0</v>
      </c>
    </row>
    <row r="107" spans="1:13" x14ac:dyDescent="0.3">
      <c r="A107" s="299"/>
      <c r="B107" s="300"/>
      <c r="C107" s="77" t="s">
        <v>84</v>
      </c>
      <c r="D107" s="306" t="s">
        <v>75</v>
      </c>
      <c r="E107" s="296">
        <v>0</v>
      </c>
      <c r="F107" s="39"/>
      <c r="G107" s="39"/>
      <c r="H107" s="35" t="s">
        <v>76</v>
      </c>
      <c r="I107" s="35" t="s">
        <v>76</v>
      </c>
      <c r="L107" s="65" t="str">
        <f>IFERROR(H107-'Nátok z PRDS'!H107,"N/A")</f>
        <v>N/A</v>
      </c>
      <c r="M107" s="65">
        <f>IFERROR(H107-'Distribúcia KS v PMDS'!H107,0)</f>
        <v>0</v>
      </c>
    </row>
    <row r="108" spans="1:13" x14ac:dyDescent="0.3">
      <c r="A108" s="299"/>
      <c r="B108" s="300"/>
      <c r="C108" s="77" t="s">
        <v>77</v>
      </c>
      <c r="D108" s="307"/>
      <c r="E108" s="296"/>
      <c r="F108" s="39"/>
      <c r="G108" s="39"/>
      <c r="H108" s="35" t="s">
        <v>76</v>
      </c>
      <c r="I108" s="35" t="s">
        <v>76</v>
      </c>
      <c r="L108" s="65" t="str">
        <f>IFERROR(H108-'Nátok z PRDS'!H108,"N/A")</f>
        <v>N/A</v>
      </c>
      <c r="M108" s="65">
        <f>IFERROR(H108-'Distribúcia KS v PMDS'!H108,0)</f>
        <v>0</v>
      </c>
    </row>
    <row r="109" spans="1:13" x14ac:dyDescent="0.3">
      <c r="A109" s="299"/>
      <c r="B109" s="300"/>
      <c r="C109" s="77" t="s">
        <v>85</v>
      </c>
      <c r="D109" s="308"/>
      <c r="E109" s="296"/>
      <c r="F109" s="35">
        <f>+F107+F108</f>
        <v>0</v>
      </c>
      <c r="G109" s="35">
        <f t="shared" ref="G109" si="35">+G107+G108</f>
        <v>0</v>
      </c>
      <c r="H109" s="35">
        <f>+G109-F109</f>
        <v>0</v>
      </c>
      <c r="I109" s="47">
        <f>+ROUND(IF(H109&gt;0,H109*E107,0),4)</f>
        <v>0</v>
      </c>
      <c r="L109" s="65">
        <f>IFERROR(H109-'Nátok z PRDS'!H109,"N/A")</f>
        <v>0</v>
      </c>
      <c r="M109" s="65">
        <f>IFERROR(H109-'Distribúcia KS v PMDS'!H109,0)</f>
        <v>0</v>
      </c>
    </row>
    <row r="110" spans="1:13" x14ac:dyDescent="0.3">
      <c r="A110" s="299" t="s">
        <v>104</v>
      </c>
      <c r="B110" s="300" t="s">
        <v>114</v>
      </c>
      <c r="C110" s="77" t="s">
        <v>106</v>
      </c>
      <c r="D110" s="114" t="s">
        <v>107</v>
      </c>
      <c r="E110" s="58"/>
      <c r="F110" s="39"/>
      <c r="G110" s="39"/>
      <c r="H110" s="35">
        <f>+G110-F110</f>
        <v>0</v>
      </c>
      <c r="I110" s="47">
        <f>+ROUND(IF(H110&gt;0,H110*E110,0),4)</f>
        <v>0</v>
      </c>
      <c r="L110" s="65">
        <f>IFERROR(H110-'Nátok z PRDS'!H110,"N/A")</f>
        <v>0</v>
      </c>
      <c r="M110" s="65">
        <f>IFERROR(H110-'Distribúcia KS v PMDS'!H110,0)</f>
        <v>0</v>
      </c>
    </row>
    <row r="111" spans="1:13" x14ac:dyDescent="0.3">
      <c r="A111" s="299"/>
      <c r="B111" s="300"/>
      <c r="C111" s="77" t="s">
        <v>108</v>
      </c>
      <c r="D111" s="114" t="s">
        <v>109</v>
      </c>
      <c r="E111" s="58"/>
      <c r="F111" s="39"/>
      <c r="G111" s="39"/>
      <c r="H111" s="35">
        <f>+G111-F111</f>
        <v>0</v>
      </c>
      <c r="I111" s="47">
        <f>+ROUND(IF(H111&gt;0,H111*E111,0),4)</f>
        <v>0</v>
      </c>
      <c r="L111" s="65">
        <f>IFERROR(H111-'Nátok z PRDS'!H111,"N/A")</f>
        <v>0</v>
      </c>
      <c r="M111" s="65">
        <f>IFERROR(H111-'Distribúcia KS v PMDS'!H111,0)</f>
        <v>0</v>
      </c>
    </row>
    <row r="112" spans="1:13" x14ac:dyDescent="0.3">
      <c r="A112" s="299"/>
      <c r="B112" s="300"/>
      <c r="C112" s="77" t="s">
        <v>82</v>
      </c>
      <c r="D112" s="306" t="s">
        <v>75</v>
      </c>
      <c r="E112" s="296">
        <v>0</v>
      </c>
      <c r="F112" s="39"/>
      <c r="G112" s="39"/>
      <c r="H112" s="35" t="s">
        <v>76</v>
      </c>
      <c r="I112" s="35" t="s">
        <v>76</v>
      </c>
      <c r="L112" s="65" t="str">
        <f>IFERROR(H112-'Nátok z PRDS'!H112,"N/A")</f>
        <v>N/A</v>
      </c>
      <c r="M112" s="65">
        <f>IFERROR(H112-'Distribúcia KS v PMDS'!H112,0)</f>
        <v>0</v>
      </c>
    </row>
    <row r="113" spans="1:13" x14ac:dyDescent="0.3">
      <c r="A113" s="299"/>
      <c r="B113" s="300"/>
      <c r="C113" s="77" t="s">
        <v>77</v>
      </c>
      <c r="D113" s="307"/>
      <c r="E113" s="296"/>
      <c r="F113" s="39"/>
      <c r="G113" s="39"/>
      <c r="H113" s="35" t="s">
        <v>76</v>
      </c>
      <c r="I113" s="35" t="s">
        <v>76</v>
      </c>
      <c r="L113" s="65" t="str">
        <f>IFERROR(H113-'Nátok z PRDS'!H113,"N/A")</f>
        <v>N/A</v>
      </c>
      <c r="M113" s="65">
        <f>IFERROR(H113-'Distribúcia KS v PMDS'!H113,0)</f>
        <v>0</v>
      </c>
    </row>
    <row r="114" spans="1:13" x14ac:dyDescent="0.3">
      <c r="A114" s="299"/>
      <c r="B114" s="300"/>
      <c r="C114" s="77" t="s">
        <v>83</v>
      </c>
      <c r="D114" s="308"/>
      <c r="E114" s="296"/>
      <c r="F114" s="35">
        <f>+F112+F113</f>
        <v>0</v>
      </c>
      <c r="G114" s="35">
        <f t="shared" ref="G114" si="36">+G112+G113</f>
        <v>0</v>
      </c>
      <c r="H114" s="35">
        <f>+G114-F114</f>
        <v>0</v>
      </c>
      <c r="I114" s="47">
        <f>+ROUND(IF(H114&gt;0,H114*E112,0),4)</f>
        <v>0</v>
      </c>
      <c r="L114" s="65">
        <f>IFERROR(H114-'Nátok z PRDS'!H114,"N/A")</f>
        <v>0</v>
      </c>
      <c r="M114" s="65">
        <f>IFERROR(H114-'Distribúcia KS v PMDS'!H114,0)</f>
        <v>0</v>
      </c>
    </row>
    <row r="115" spans="1:13" x14ac:dyDescent="0.3">
      <c r="A115" s="299"/>
      <c r="B115" s="300"/>
      <c r="C115" s="77" t="s">
        <v>84</v>
      </c>
      <c r="D115" s="306" t="s">
        <v>75</v>
      </c>
      <c r="E115" s="296">
        <v>0</v>
      </c>
      <c r="F115" s="39"/>
      <c r="G115" s="39"/>
      <c r="H115" s="35" t="s">
        <v>76</v>
      </c>
      <c r="I115" s="35" t="s">
        <v>76</v>
      </c>
      <c r="L115" s="65" t="str">
        <f>IFERROR(H115-'Nátok z PRDS'!H115,"N/A")</f>
        <v>N/A</v>
      </c>
      <c r="M115" s="65">
        <f>IFERROR(H115-'Distribúcia KS v PMDS'!H115,0)</f>
        <v>0</v>
      </c>
    </row>
    <row r="116" spans="1:13" x14ac:dyDescent="0.3">
      <c r="A116" s="299"/>
      <c r="B116" s="300"/>
      <c r="C116" s="77" t="s">
        <v>77</v>
      </c>
      <c r="D116" s="307"/>
      <c r="E116" s="296"/>
      <c r="F116" s="39"/>
      <c r="G116" s="39"/>
      <c r="H116" s="35" t="s">
        <v>76</v>
      </c>
      <c r="I116" s="35" t="s">
        <v>76</v>
      </c>
      <c r="L116" s="65" t="str">
        <f>IFERROR(H116-'Nátok z PRDS'!H116,"N/A")</f>
        <v>N/A</v>
      </c>
      <c r="M116" s="65">
        <f>IFERROR(H116-'Distribúcia KS v PMDS'!H116,0)</f>
        <v>0</v>
      </c>
    </row>
    <row r="117" spans="1:13" x14ac:dyDescent="0.3">
      <c r="A117" s="299"/>
      <c r="B117" s="300"/>
      <c r="C117" s="77" t="s">
        <v>85</v>
      </c>
      <c r="D117" s="308"/>
      <c r="E117" s="296"/>
      <c r="F117" s="35">
        <f>+F115+F116</f>
        <v>0</v>
      </c>
      <c r="G117" s="35">
        <f t="shared" ref="G117" si="37">+G115+G116</f>
        <v>0</v>
      </c>
      <c r="H117" s="35">
        <f>+G117-F117</f>
        <v>0</v>
      </c>
      <c r="I117" s="47">
        <f>+ROUND(IF(H117&gt;0,H117*E115,0),4)</f>
        <v>0</v>
      </c>
      <c r="L117" s="65">
        <f>IFERROR(H117-'Nátok z PRDS'!H117,"N/A")</f>
        <v>0</v>
      </c>
      <c r="M117" s="65">
        <f>IFERROR(H117-'Distribúcia KS v PMDS'!H117,0)</f>
        <v>0</v>
      </c>
    </row>
    <row r="118" spans="1:13" x14ac:dyDescent="0.3">
      <c r="A118" s="299" t="s">
        <v>104</v>
      </c>
      <c r="B118" s="300" t="s">
        <v>115</v>
      </c>
      <c r="C118" s="77" t="s">
        <v>106</v>
      </c>
      <c r="D118" s="114" t="s">
        <v>107</v>
      </c>
      <c r="E118" s="58"/>
      <c r="F118" s="39"/>
      <c r="G118" s="39"/>
      <c r="H118" s="35">
        <f>+G118-F118</f>
        <v>0</v>
      </c>
      <c r="I118" s="47">
        <f>+ROUND(IF(H118&gt;0,H118*E118,0),4)</f>
        <v>0</v>
      </c>
      <c r="L118" s="65">
        <f>IFERROR(H118-'Nátok z PRDS'!H118,"N/A")</f>
        <v>0</v>
      </c>
      <c r="M118" s="65">
        <f>IFERROR(H118-'Distribúcia KS v PMDS'!H118,0)</f>
        <v>0</v>
      </c>
    </row>
    <row r="119" spans="1:13" x14ac:dyDescent="0.3">
      <c r="A119" s="299"/>
      <c r="B119" s="300"/>
      <c r="C119" s="77" t="s">
        <v>108</v>
      </c>
      <c r="D119" s="114" t="s">
        <v>109</v>
      </c>
      <c r="E119" s="58"/>
      <c r="F119" s="39"/>
      <c r="G119" s="39"/>
      <c r="H119" s="35">
        <f>+G119-F119</f>
        <v>0</v>
      </c>
      <c r="I119" s="47">
        <f>+ROUND(IF(H119&gt;0,H119*E119,0),4)</f>
        <v>0</v>
      </c>
      <c r="L119" s="65">
        <f>IFERROR(H119-'Nátok z PRDS'!H119,"N/A")</f>
        <v>0</v>
      </c>
      <c r="M119" s="65">
        <f>IFERROR(H119-'Distribúcia KS v PMDS'!H119,0)</f>
        <v>0</v>
      </c>
    </row>
    <row r="120" spans="1:13" x14ac:dyDescent="0.3">
      <c r="A120" s="299"/>
      <c r="B120" s="300"/>
      <c r="C120" s="77" t="s">
        <v>82</v>
      </c>
      <c r="D120" s="306" t="s">
        <v>75</v>
      </c>
      <c r="E120" s="296">
        <v>0</v>
      </c>
      <c r="F120" s="39"/>
      <c r="G120" s="39"/>
      <c r="H120" s="35" t="s">
        <v>76</v>
      </c>
      <c r="I120" s="35" t="s">
        <v>76</v>
      </c>
      <c r="L120" s="65" t="str">
        <f>IFERROR(H120-'Nátok z PRDS'!H120,"N/A")</f>
        <v>N/A</v>
      </c>
      <c r="M120" s="65">
        <f>IFERROR(H120-'Distribúcia KS v PMDS'!H120,0)</f>
        <v>0</v>
      </c>
    </row>
    <row r="121" spans="1:13" x14ac:dyDescent="0.3">
      <c r="A121" s="299"/>
      <c r="B121" s="300"/>
      <c r="C121" s="77" t="s">
        <v>77</v>
      </c>
      <c r="D121" s="307"/>
      <c r="E121" s="296"/>
      <c r="F121" s="39"/>
      <c r="G121" s="39"/>
      <c r="H121" s="35" t="s">
        <v>76</v>
      </c>
      <c r="I121" s="35" t="s">
        <v>76</v>
      </c>
      <c r="L121" s="65" t="str">
        <f>IFERROR(H121-'Nátok z PRDS'!H121,"N/A")</f>
        <v>N/A</v>
      </c>
      <c r="M121" s="65">
        <f>IFERROR(H121-'Distribúcia KS v PMDS'!H121,0)</f>
        <v>0</v>
      </c>
    </row>
    <row r="122" spans="1:13" x14ac:dyDescent="0.3">
      <c r="A122" s="299"/>
      <c r="B122" s="300"/>
      <c r="C122" s="77" t="s">
        <v>83</v>
      </c>
      <c r="D122" s="308"/>
      <c r="E122" s="296"/>
      <c r="F122" s="35">
        <f>+F120+F121</f>
        <v>0</v>
      </c>
      <c r="G122" s="35">
        <f t="shared" ref="G122" si="38">+G120+G121</f>
        <v>0</v>
      </c>
      <c r="H122" s="35">
        <f>+G122-F122</f>
        <v>0</v>
      </c>
      <c r="I122" s="47">
        <f>+ROUND(IF(H122&gt;0,H122*E120,0),4)</f>
        <v>0</v>
      </c>
      <c r="L122" s="65">
        <f>IFERROR(H122-'Nátok z PRDS'!H122,"N/A")</f>
        <v>0</v>
      </c>
      <c r="M122" s="65">
        <f>IFERROR(H122-'Distribúcia KS v PMDS'!H122,0)</f>
        <v>0</v>
      </c>
    </row>
    <row r="123" spans="1:13" x14ac:dyDescent="0.3">
      <c r="A123" s="299"/>
      <c r="B123" s="300"/>
      <c r="C123" s="77" t="s">
        <v>84</v>
      </c>
      <c r="D123" s="306" t="s">
        <v>75</v>
      </c>
      <c r="E123" s="296">
        <v>0</v>
      </c>
      <c r="F123" s="39"/>
      <c r="G123" s="39"/>
      <c r="H123" s="35" t="s">
        <v>76</v>
      </c>
      <c r="I123" s="35" t="s">
        <v>76</v>
      </c>
      <c r="L123" s="65" t="str">
        <f>IFERROR(H123-'Nátok z PRDS'!H123,"N/A")</f>
        <v>N/A</v>
      </c>
      <c r="M123" s="65">
        <f>IFERROR(H123-'Distribúcia KS v PMDS'!H123,0)</f>
        <v>0</v>
      </c>
    </row>
    <row r="124" spans="1:13" x14ac:dyDescent="0.3">
      <c r="A124" s="299"/>
      <c r="B124" s="300"/>
      <c r="C124" s="77" t="s">
        <v>77</v>
      </c>
      <c r="D124" s="307"/>
      <c r="E124" s="296"/>
      <c r="F124" s="39"/>
      <c r="G124" s="39"/>
      <c r="H124" s="35" t="s">
        <v>76</v>
      </c>
      <c r="I124" s="35" t="s">
        <v>76</v>
      </c>
      <c r="L124" s="65" t="str">
        <f>IFERROR(H124-'Nátok z PRDS'!H124,"N/A")</f>
        <v>N/A</v>
      </c>
      <c r="M124" s="65">
        <f>IFERROR(H124-'Distribúcia KS v PMDS'!H124,0)</f>
        <v>0</v>
      </c>
    </row>
    <row r="125" spans="1:13" x14ac:dyDescent="0.3">
      <c r="A125" s="299"/>
      <c r="B125" s="300"/>
      <c r="C125" s="77" t="s">
        <v>85</v>
      </c>
      <c r="D125" s="308"/>
      <c r="E125" s="296"/>
      <c r="F125" s="35">
        <f>+F123+F124</f>
        <v>0</v>
      </c>
      <c r="G125" s="35">
        <f t="shared" ref="G125" si="39">+G123+G124</f>
        <v>0</v>
      </c>
      <c r="H125" s="35">
        <f>+G125-F125</f>
        <v>0</v>
      </c>
      <c r="I125" s="47">
        <f>+ROUND(IF(H125&gt;0,H125*E123,0),4)</f>
        <v>0</v>
      </c>
      <c r="L125" s="65">
        <f>IFERROR(H125-'Nátok z PRDS'!H125,"N/A")</f>
        <v>0</v>
      </c>
      <c r="M125" s="65">
        <f>IFERROR(H125-'Distribúcia KS v PMDS'!H125,0)</f>
        <v>0</v>
      </c>
    </row>
    <row r="126" spans="1:13" x14ac:dyDescent="0.3">
      <c r="A126" s="299" t="s">
        <v>104</v>
      </c>
      <c r="B126" s="300" t="s">
        <v>116</v>
      </c>
      <c r="C126" s="77" t="s">
        <v>106</v>
      </c>
      <c r="D126" s="114" t="s">
        <v>107</v>
      </c>
      <c r="E126" s="58"/>
      <c r="F126" s="39"/>
      <c r="G126" s="39"/>
      <c r="H126" s="35">
        <f>+G126-F126</f>
        <v>0</v>
      </c>
      <c r="I126" s="47">
        <f>+ROUND(IF(H126&gt;0,H126*E126,0),4)</f>
        <v>0</v>
      </c>
      <c r="L126" s="65">
        <f>IFERROR(H126-'Nátok z PRDS'!H126,"N/A")</f>
        <v>0</v>
      </c>
      <c r="M126" s="65">
        <f>IFERROR(H126-'Distribúcia KS v PMDS'!H126,0)</f>
        <v>0</v>
      </c>
    </row>
    <row r="127" spans="1:13" x14ac:dyDescent="0.3">
      <c r="A127" s="299"/>
      <c r="B127" s="300"/>
      <c r="C127" s="77" t="s">
        <v>108</v>
      </c>
      <c r="D127" s="114" t="s">
        <v>109</v>
      </c>
      <c r="E127" s="58"/>
      <c r="F127" s="39"/>
      <c r="G127" s="39"/>
      <c r="H127" s="35">
        <f>+G127-F127</f>
        <v>0</v>
      </c>
      <c r="I127" s="47">
        <f>+ROUND(IF(H127&gt;0,H127*E127,0),4)</f>
        <v>0</v>
      </c>
      <c r="L127" s="65">
        <f>IFERROR(H127-'Nátok z PRDS'!H127,"N/A")</f>
        <v>0</v>
      </c>
      <c r="M127" s="65">
        <f>IFERROR(H127-'Distribúcia KS v PMDS'!H127,0)</f>
        <v>0</v>
      </c>
    </row>
    <row r="128" spans="1:13" x14ac:dyDescent="0.3">
      <c r="A128" s="299"/>
      <c r="B128" s="300"/>
      <c r="C128" s="77" t="s">
        <v>82</v>
      </c>
      <c r="D128" s="306" t="s">
        <v>75</v>
      </c>
      <c r="E128" s="296">
        <v>0</v>
      </c>
      <c r="F128" s="39"/>
      <c r="G128" s="39"/>
      <c r="H128" s="35" t="s">
        <v>76</v>
      </c>
      <c r="I128" s="35" t="s">
        <v>76</v>
      </c>
      <c r="L128" s="65" t="str">
        <f>IFERROR(H128-'Nátok z PRDS'!H128,"N/A")</f>
        <v>N/A</v>
      </c>
      <c r="M128" s="65">
        <f>IFERROR(H128-'Distribúcia KS v PMDS'!H128,0)</f>
        <v>0</v>
      </c>
    </row>
    <row r="129" spans="1:13" x14ac:dyDescent="0.3">
      <c r="A129" s="299"/>
      <c r="B129" s="300"/>
      <c r="C129" s="77" t="s">
        <v>77</v>
      </c>
      <c r="D129" s="307"/>
      <c r="E129" s="296"/>
      <c r="F129" s="39"/>
      <c r="G129" s="39"/>
      <c r="H129" s="35" t="s">
        <v>76</v>
      </c>
      <c r="I129" s="35" t="s">
        <v>76</v>
      </c>
      <c r="L129" s="65" t="str">
        <f>IFERROR(H129-'Nátok z PRDS'!H129,"N/A")</f>
        <v>N/A</v>
      </c>
      <c r="M129" s="65">
        <f>IFERROR(H129-'Distribúcia KS v PMDS'!H129,0)</f>
        <v>0</v>
      </c>
    </row>
    <row r="130" spans="1:13" x14ac:dyDescent="0.3">
      <c r="A130" s="299"/>
      <c r="B130" s="300"/>
      <c r="C130" s="77" t="s">
        <v>83</v>
      </c>
      <c r="D130" s="308"/>
      <c r="E130" s="296"/>
      <c r="F130" s="35">
        <f>+F128+F129</f>
        <v>0</v>
      </c>
      <c r="G130" s="35">
        <f t="shared" ref="G130" si="40">+G128+G129</f>
        <v>0</v>
      </c>
      <c r="H130" s="35">
        <f>+G130-F130</f>
        <v>0</v>
      </c>
      <c r="I130" s="47">
        <f>+ROUND(IF(H130&gt;0,H130*E128,0),4)</f>
        <v>0</v>
      </c>
      <c r="L130" s="65">
        <f>IFERROR(H130-'Nátok z PRDS'!H130,"N/A")</f>
        <v>0</v>
      </c>
      <c r="M130" s="65">
        <f>IFERROR(H130-'Distribúcia KS v PMDS'!H130,0)</f>
        <v>0</v>
      </c>
    </row>
    <row r="131" spans="1:13" x14ac:dyDescent="0.3">
      <c r="A131" s="299"/>
      <c r="B131" s="300"/>
      <c r="C131" s="77" t="s">
        <v>84</v>
      </c>
      <c r="D131" s="306" t="s">
        <v>75</v>
      </c>
      <c r="E131" s="296">
        <v>0</v>
      </c>
      <c r="F131" s="39"/>
      <c r="G131" s="39"/>
      <c r="H131" s="35" t="s">
        <v>76</v>
      </c>
      <c r="I131" s="35" t="s">
        <v>76</v>
      </c>
      <c r="L131" s="65" t="str">
        <f>IFERROR(H131-'Nátok z PRDS'!H131,"N/A")</f>
        <v>N/A</v>
      </c>
      <c r="M131" s="65">
        <f>IFERROR(H131-'Distribúcia KS v PMDS'!H131,0)</f>
        <v>0</v>
      </c>
    </row>
    <row r="132" spans="1:13" x14ac:dyDescent="0.3">
      <c r="A132" s="299"/>
      <c r="B132" s="300"/>
      <c r="C132" s="77" t="s">
        <v>77</v>
      </c>
      <c r="D132" s="307"/>
      <c r="E132" s="296"/>
      <c r="F132" s="39"/>
      <c r="G132" s="39"/>
      <c r="H132" s="35" t="s">
        <v>76</v>
      </c>
      <c r="I132" s="35" t="s">
        <v>76</v>
      </c>
      <c r="L132" s="65" t="str">
        <f>IFERROR(H132-'Nátok z PRDS'!H132,"N/A")</f>
        <v>N/A</v>
      </c>
      <c r="M132" s="65">
        <f>IFERROR(H132-'Distribúcia KS v PMDS'!H132,0)</f>
        <v>0</v>
      </c>
    </row>
    <row r="133" spans="1:13" x14ac:dyDescent="0.3">
      <c r="A133" s="299"/>
      <c r="B133" s="300"/>
      <c r="C133" s="77" t="s">
        <v>85</v>
      </c>
      <c r="D133" s="308"/>
      <c r="E133" s="296"/>
      <c r="F133" s="35">
        <f>+F131+F132</f>
        <v>0</v>
      </c>
      <c r="G133" s="35">
        <f t="shared" ref="G133" si="41">+G131+G132</f>
        <v>0</v>
      </c>
      <c r="H133" s="35">
        <f>+G133-F133</f>
        <v>0</v>
      </c>
      <c r="I133" s="47">
        <f>+ROUND(IF(H133&gt;0,H133*E131,0),4)</f>
        <v>0</v>
      </c>
      <c r="L133" s="65">
        <f>IFERROR(H133-'Nátok z PRDS'!H133,"N/A")</f>
        <v>0</v>
      </c>
      <c r="M133" s="65">
        <f>IFERROR(H133-'Distribúcia KS v PMDS'!H133,0)</f>
        <v>0</v>
      </c>
    </row>
    <row r="134" spans="1:13" x14ac:dyDescent="0.3">
      <c r="A134" s="311" t="s">
        <v>104</v>
      </c>
      <c r="B134" s="312" t="s">
        <v>117</v>
      </c>
      <c r="C134" s="78" t="s">
        <v>73</v>
      </c>
      <c r="D134" s="115" t="s">
        <v>118</v>
      </c>
      <c r="E134" s="59"/>
      <c r="F134" s="43">
        <v>1.3277000000000001</v>
      </c>
      <c r="G134" s="43">
        <v>1.3277000000000001</v>
      </c>
      <c r="H134" s="36">
        <f>+G134-F134</f>
        <v>0</v>
      </c>
      <c r="I134" s="47">
        <f>+ROUND(IF(H134&gt;0,H134*E134,0),4)</f>
        <v>0</v>
      </c>
      <c r="L134" s="65">
        <f>IFERROR(H134-'Nátok z PRDS'!H134,"N/A")</f>
        <v>0</v>
      </c>
      <c r="M134" s="65">
        <f>IFERROR(H134-'Distribúcia KS v PMDS'!H134,0)</f>
        <v>0</v>
      </c>
    </row>
    <row r="135" spans="1:13" x14ac:dyDescent="0.3">
      <c r="A135" s="311" t="s">
        <v>119</v>
      </c>
      <c r="B135" s="312"/>
      <c r="C135" s="78" t="s">
        <v>73</v>
      </c>
      <c r="D135" s="115" t="s">
        <v>120</v>
      </c>
      <c r="E135" s="59"/>
      <c r="F135" s="43"/>
      <c r="G135" s="43"/>
      <c r="H135" s="36">
        <f t="shared" ref="H135" si="42">+G135-F135</f>
        <v>0</v>
      </c>
      <c r="I135" s="47">
        <f t="shared" ref="I135:I137" si="43">+ROUND(IF(H135&gt;0,H135*E135,0),4)</f>
        <v>0</v>
      </c>
      <c r="L135" s="65">
        <f>IFERROR(H135-'Nátok z PRDS'!H135,"N/A")</f>
        <v>0</v>
      </c>
      <c r="M135" s="65">
        <f>IFERROR(H135-'Distribúcia KS v PMDS'!H135,0)</f>
        <v>0</v>
      </c>
    </row>
    <row r="136" spans="1:13" x14ac:dyDescent="0.3">
      <c r="A136" s="299" t="s">
        <v>104</v>
      </c>
      <c r="B136" s="300" t="s">
        <v>121</v>
      </c>
      <c r="C136" s="77" t="s">
        <v>106</v>
      </c>
      <c r="D136" s="114" t="s">
        <v>107</v>
      </c>
      <c r="E136" s="58"/>
      <c r="F136" s="39"/>
      <c r="G136" s="39"/>
      <c r="H136" s="35">
        <f>+G136-F136</f>
        <v>0</v>
      </c>
      <c r="I136" s="47">
        <f t="shared" si="43"/>
        <v>0</v>
      </c>
      <c r="L136" s="65">
        <f>IFERROR(H136-'Nátok z PRDS'!H136,"N/A")</f>
        <v>0</v>
      </c>
      <c r="M136" s="65">
        <f>IFERROR(H136-'Distribúcia KS v PMDS'!H136,0)</f>
        <v>0</v>
      </c>
    </row>
    <row r="137" spans="1:13" x14ac:dyDescent="0.3">
      <c r="A137" s="299"/>
      <c r="B137" s="300"/>
      <c r="C137" s="77" t="s">
        <v>108</v>
      </c>
      <c r="D137" s="114" t="s">
        <v>109</v>
      </c>
      <c r="E137" s="58"/>
      <c r="F137" s="39"/>
      <c r="G137" s="39"/>
      <c r="H137" s="35">
        <f>+G137-F137</f>
        <v>0</v>
      </c>
      <c r="I137" s="47">
        <f t="shared" si="43"/>
        <v>0</v>
      </c>
      <c r="L137" s="65">
        <f>IFERROR(H137-'Nátok z PRDS'!H137,"N/A")</f>
        <v>0</v>
      </c>
      <c r="M137" s="65">
        <f>IFERROR(H137-'Distribúcia KS v PMDS'!H137,0)</f>
        <v>0</v>
      </c>
    </row>
    <row r="138" spans="1:13" x14ac:dyDescent="0.3">
      <c r="A138" s="299"/>
      <c r="B138" s="300"/>
      <c r="C138" s="77" t="s">
        <v>74</v>
      </c>
      <c r="D138" s="306" t="s">
        <v>75</v>
      </c>
      <c r="E138" s="296">
        <f>+E139</f>
        <v>0</v>
      </c>
      <c r="F138" s="39"/>
      <c r="G138" s="39"/>
      <c r="H138" s="35" t="s">
        <v>76</v>
      </c>
      <c r="I138" s="35" t="s">
        <v>76</v>
      </c>
      <c r="L138" s="65" t="str">
        <f>IFERROR(H138-'Nátok z PRDS'!H138,"N/A")</f>
        <v>N/A</v>
      </c>
      <c r="M138" s="65">
        <f>IFERROR(H138-'Distribúcia KS v PMDS'!H138,0)</f>
        <v>0</v>
      </c>
    </row>
    <row r="139" spans="1:13" x14ac:dyDescent="0.3">
      <c r="A139" s="299"/>
      <c r="B139" s="300"/>
      <c r="C139" s="77" t="s">
        <v>77</v>
      </c>
      <c r="D139" s="307"/>
      <c r="E139" s="296"/>
      <c r="F139" s="39"/>
      <c r="G139" s="39"/>
      <c r="H139" s="35" t="s">
        <v>76</v>
      </c>
      <c r="I139" s="35" t="s">
        <v>76</v>
      </c>
      <c r="L139" s="65" t="str">
        <f>IFERROR(H139-'Nátok z PRDS'!H139,"N/A")</f>
        <v>N/A</v>
      </c>
      <c r="M139" s="65">
        <f>IFERROR(H139-'Distribúcia KS v PMDS'!H139,0)</f>
        <v>0</v>
      </c>
    </row>
    <row r="140" spans="1:13" x14ac:dyDescent="0.3">
      <c r="A140" s="299"/>
      <c r="B140" s="300"/>
      <c r="C140" s="77" t="s">
        <v>78</v>
      </c>
      <c r="D140" s="308"/>
      <c r="E140" s="296"/>
      <c r="F140" s="35">
        <f>+F138+F139</f>
        <v>0</v>
      </c>
      <c r="G140" s="35">
        <f t="shared" ref="G140" si="44">+G138+G139</f>
        <v>0</v>
      </c>
      <c r="H140" s="35">
        <f>+G140-F140</f>
        <v>0</v>
      </c>
      <c r="I140" s="47">
        <f>+ROUND(IF(H140&gt;0,H140*E138,0),4)</f>
        <v>0</v>
      </c>
      <c r="L140" s="65">
        <f>IFERROR(H140-'Nátok z PRDS'!H140,"N/A")</f>
        <v>0</v>
      </c>
      <c r="M140" s="65">
        <f>IFERROR(H140-'Distribúcia KS v PMDS'!H140,0)</f>
        <v>0</v>
      </c>
    </row>
    <row r="141" spans="1:13" x14ac:dyDescent="0.3">
      <c r="A141" s="303" t="s">
        <v>104</v>
      </c>
      <c r="B141" s="306" t="s">
        <v>122</v>
      </c>
      <c r="C141" s="77" t="s">
        <v>73</v>
      </c>
      <c r="D141" s="114" t="s">
        <v>118</v>
      </c>
      <c r="E141" s="58"/>
      <c r="F141" s="39"/>
      <c r="G141" s="39"/>
      <c r="H141" s="35">
        <f>+G141-F141</f>
        <v>0</v>
      </c>
      <c r="I141" s="47">
        <f>+ROUND(IF(H141&gt;0,H141*E141,0),4)</f>
        <v>0</v>
      </c>
      <c r="L141" s="65">
        <f>IFERROR(H141-'Nátok z PRDS'!H141,"N/A")</f>
        <v>0</v>
      </c>
      <c r="M141" s="65">
        <f>IFERROR(H141-'Distribúcia KS v PMDS'!H141,0)</f>
        <v>0</v>
      </c>
    </row>
    <row r="142" spans="1:13" x14ac:dyDescent="0.3">
      <c r="A142" s="304"/>
      <c r="B142" s="307"/>
      <c r="C142" s="77" t="s">
        <v>106</v>
      </c>
      <c r="D142" s="114" t="s">
        <v>107</v>
      </c>
      <c r="E142" s="58"/>
      <c r="F142" s="39"/>
      <c r="G142" s="39"/>
      <c r="H142" s="35">
        <f>+G142-F142</f>
        <v>0</v>
      </c>
      <c r="I142" s="47">
        <f>+ROUND(IF(H142&gt;0,H142*E142,0),4)</f>
        <v>0</v>
      </c>
      <c r="L142" s="65">
        <f>IFERROR(H142-'Nátok z PRDS'!H142,"N/A")</f>
        <v>0</v>
      </c>
      <c r="M142" s="65">
        <f>IFERROR(H142-'Distribúcia KS v PMDS'!H142,0)</f>
        <v>0</v>
      </c>
    </row>
    <row r="143" spans="1:13" x14ac:dyDescent="0.3">
      <c r="A143" s="304"/>
      <c r="B143" s="307"/>
      <c r="C143" s="77" t="s">
        <v>108</v>
      </c>
      <c r="D143" s="116" t="s">
        <v>109</v>
      </c>
      <c r="E143" s="58"/>
      <c r="F143" s="39"/>
      <c r="G143" s="39"/>
      <c r="H143" s="35">
        <f>+G143-F143</f>
        <v>0</v>
      </c>
      <c r="I143" s="47">
        <f>+ROUND(IF(H143&gt;0,H143*E143,0),4)</f>
        <v>0</v>
      </c>
      <c r="L143" s="65">
        <f>IFERROR(H143-'Nátok z PRDS'!H143,"N/A")</f>
        <v>0</v>
      </c>
      <c r="M143" s="65">
        <f>IFERROR(H143-'Distribúcia KS v PMDS'!H143,0)</f>
        <v>0</v>
      </c>
    </row>
    <row r="144" spans="1:13" x14ac:dyDescent="0.3">
      <c r="A144" s="304"/>
      <c r="B144" s="307"/>
      <c r="C144" s="77" t="s">
        <v>74</v>
      </c>
      <c r="D144" s="306" t="s">
        <v>75</v>
      </c>
      <c r="E144" s="296">
        <f>+E145</f>
        <v>0</v>
      </c>
      <c r="F144" s="39">
        <v>46.464999999999996</v>
      </c>
      <c r="G144" s="39">
        <v>50.793999999999997</v>
      </c>
      <c r="H144" s="35" t="s">
        <v>76</v>
      </c>
      <c r="I144" s="35" t="s">
        <v>76</v>
      </c>
      <c r="L144" s="65" t="str">
        <f>IFERROR(H144-'Nátok z PRDS'!H144,"N/A")</f>
        <v>N/A</v>
      </c>
      <c r="M144" s="65">
        <f>IFERROR(H144-'Distribúcia KS v PMDS'!H144,0)</f>
        <v>0</v>
      </c>
    </row>
    <row r="145" spans="1:13" x14ac:dyDescent="0.3">
      <c r="A145" s="304"/>
      <c r="B145" s="307"/>
      <c r="C145" s="77" t="s">
        <v>77</v>
      </c>
      <c r="D145" s="307"/>
      <c r="E145" s="296"/>
      <c r="F145" s="39">
        <v>11.466000000000001</v>
      </c>
      <c r="G145" s="39">
        <v>16.826000000000001</v>
      </c>
      <c r="H145" s="35" t="s">
        <v>76</v>
      </c>
      <c r="I145" s="35" t="s">
        <v>76</v>
      </c>
      <c r="L145" s="65" t="str">
        <f>IFERROR(H145-'Nátok z PRDS'!H145,"N/A")</f>
        <v>N/A</v>
      </c>
      <c r="M145" s="65">
        <f>IFERROR(H145-'Distribúcia KS v PMDS'!H145,0)</f>
        <v>0</v>
      </c>
    </row>
    <row r="146" spans="1:13" x14ac:dyDescent="0.3">
      <c r="A146" s="305"/>
      <c r="B146" s="308"/>
      <c r="C146" s="77" t="s">
        <v>78</v>
      </c>
      <c r="D146" s="308"/>
      <c r="E146" s="296"/>
      <c r="F146" s="35">
        <f>+F144+F145</f>
        <v>57.930999999999997</v>
      </c>
      <c r="G146" s="35">
        <f>+G144+G145</f>
        <v>67.62</v>
      </c>
      <c r="H146" s="35">
        <f>+G146-F146</f>
        <v>9.6890000000000072</v>
      </c>
      <c r="I146" s="47">
        <f>+ROUND(IF(H146&gt;0,H146*E144,0),4)</f>
        <v>0</v>
      </c>
      <c r="L146" s="65">
        <f>IFERROR(H146-'Nátok z PRDS'!H146,"N/A")</f>
        <v>9.6890000000000072</v>
      </c>
      <c r="M146" s="65">
        <f>IFERROR(H146-'Distribúcia KS v PMDS'!H146,0)</f>
        <v>9.6890000000000072</v>
      </c>
    </row>
    <row r="147" spans="1:13" x14ac:dyDescent="0.3">
      <c r="A147" s="299" t="s">
        <v>104</v>
      </c>
      <c r="B147" s="300" t="s">
        <v>123</v>
      </c>
      <c r="C147" s="77" t="s">
        <v>106</v>
      </c>
      <c r="D147" s="114" t="s">
        <v>107</v>
      </c>
      <c r="E147" s="58"/>
      <c r="F147" s="39"/>
      <c r="G147" s="39"/>
      <c r="H147" s="35">
        <f>+G147-F147</f>
        <v>0</v>
      </c>
      <c r="I147" s="47">
        <f t="shared" ref="I147" si="45">+ROUND(IF(H147&gt;0,H147*E147,0),4)</f>
        <v>0</v>
      </c>
      <c r="L147" s="65">
        <f>IFERROR(H147-'Nátok z PRDS'!H147,"N/A")</f>
        <v>0</v>
      </c>
      <c r="M147" s="65">
        <f>IFERROR(H147-'Distribúcia KS v PMDS'!H147,0)</f>
        <v>0</v>
      </c>
    </row>
    <row r="148" spans="1:13" x14ac:dyDescent="0.3">
      <c r="A148" s="299"/>
      <c r="B148" s="300"/>
      <c r="C148" s="77" t="s">
        <v>108</v>
      </c>
      <c r="D148" s="114" t="s">
        <v>109</v>
      </c>
      <c r="E148" s="58"/>
      <c r="F148" s="39"/>
      <c r="G148" s="39"/>
      <c r="H148" s="35">
        <f>+G148-F148</f>
        <v>0</v>
      </c>
      <c r="I148" s="47">
        <f>+ROUND(IF(H148&gt;0,H148*E148,0),4)</f>
        <v>0</v>
      </c>
      <c r="L148" s="65">
        <f>IFERROR(H148-'Nátok z PRDS'!H148,"N/A")</f>
        <v>0</v>
      </c>
      <c r="M148" s="65">
        <f>IFERROR(H148-'Distribúcia KS v PMDS'!H148,0)</f>
        <v>0</v>
      </c>
    </row>
    <row r="149" spans="1:13" x14ac:dyDescent="0.3">
      <c r="A149" s="299"/>
      <c r="B149" s="300"/>
      <c r="C149" s="77" t="s">
        <v>82</v>
      </c>
      <c r="D149" s="306" t="s">
        <v>75</v>
      </c>
      <c r="E149" s="296">
        <v>0</v>
      </c>
      <c r="F149" s="39"/>
      <c r="G149" s="39"/>
      <c r="H149" s="35" t="s">
        <v>76</v>
      </c>
      <c r="I149" s="35" t="s">
        <v>76</v>
      </c>
      <c r="L149" s="65" t="str">
        <f>IFERROR(H149-'Nátok z PRDS'!H149,"N/A")</f>
        <v>N/A</v>
      </c>
      <c r="M149" s="65">
        <f>IFERROR(H149-'Distribúcia KS v PMDS'!H149,0)</f>
        <v>0</v>
      </c>
    </row>
    <row r="150" spans="1:13" x14ac:dyDescent="0.3">
      <c r="A150" s="299"/>
      <c r="B150" s="300"/>
      <c r="C150" s="77" t="s">
        <v>77</v>
      </c>
      <c r="D150" s="307"/>
      <c r="E150" s="296"/>
      <c r="F150" s="39"/>
      <c r="G150" s="39"/>
      <c r="H150" s="35" t="s">
        <v>76</v>
      </c>
      <c r="I150" s="35" t="s">
        <v>76</v>
      </c>
      <c r="L150" s="65" t="str">
        <f>IFERROR(H150-'Nátok z PRDS'!H150,"N/A")</f>
        <v>N/A</v>
      </c>
      <c r="M150" s="65">
        <f>IFERROR(H150-'Distribúcia KS v PMDS'!H150,0)</f>
        <v>0</v>
      </c>
    </row>
    <row r="151" spans="1:13" x14ac:dyDescent="0.3">
      <c r="A151" s="299"/>
      <c r="B151" s="300"/>
      <c r="C151" s="77" t="s">
        <v>83</v>
      </c>
      <c r="D151" s="308"/>
      <c r="E151" s="296"/>
      <c r="F151" s="35">
        <f>+F149+F150</f>
        <v>0</v>
      </c>
      <c r="G151" s="35">
        <f t="shared" ref="G151" si="46">+G149+G150</f>
        <v>0</v>
      </c>
      <c r="H151" s="35">
        <f>+G151-F151</f>
        <v>0</v>
      </c>
      <c r="I151" s="47">
        <f>+ROUND(IF(H151&gt;0,H151*E149,0),4)</f>
        <v>0</v>
      </c>
      <c r="L151" s="65">
        <f>IFERROR(H151-'Nátok z PRDS'!H151,"N/A")</f>
        <v>0</v>
      </c>
      <c r="M151" s="65">
        <f>IFERROR(H151-'Distribúcia KS v PMDS'!H151,0)</f>
        <v>0</v>
      </c>
    </row>
    <row r="152" spans="1:13" x14ac:dyDescent="0.3">
      <c r="A152" s="299"/>
      <c r="B152" s="300"/>
      <c r="C152" s="77" t="s">
        <v>84</v>
      </c>
      <c r="D152" s="306" t="s">
        <v>75</v>
      </c>
      <c r="E152" s="296">
        <v>0</v>
      </c>
      <c r="F152" s="39"/>
      <c r="G152" s="39"/>
      <c r="H152" s="35" t="s">
        <v>76</v>
      </c>
      <c r="I152" s="35" t="s">
        <v>76</v>
      </c>
      <c r="L152" s="65" t="str">
        <f>IFERROR(H152-'Nátok z PRDS'!H152,"N/A")</f>
        <v>N/A</v>
      </c>
      <c r="M152" s="65">
        <f>IFERROR(H152-'Distribúcia KS v PMDS'!H152,0)</f>
        <v>0</v>
      </c>
    </row>
    <row r="153" spans="1:13" x14ac:dyDescent="0.3">
      <c r="A153" s="299"/>
      <c r="B153" s="300"/>
      <c r="C153" s="77" t="s">
        <v>77</v>
      </c>
      <c r="D153" s="307"/>
      <c r="E153" s="296"/>
      <c r="F153" s="39"/>
      <c r="G153" s="39"/>
      <c r="H153" s="35" t="s">
        <v>76</v>
      </c>
      <c r="I153" s="35" t="s">
        <v>76</v>
      </c>
      <c r="L153" s="65" t="str">
        <f>IFERROR(H153-'Nátok z PRDS'!H153,"N/A")</f>
        <v>N/A</v>
      </c>
      <c r="M153" s="65">
        <f>IFERROR(H153-'Distribúcia KS v PMDS'!H153,0)</f>
        <v>0</v>
      </c>
    </row>
    <row r="154" spans="1:13" x14ac:dyDescent="0.3">
      <c r="A154" s="299"/>
      <c r="B154" s="300"/>
      <c r="C154" s="77" t="s">
        <v>85</v>
      </c>
      <c r="D154" s="308"/>
      <c r="E154" s="296"/>
      <c r="F154" s="35">
        <f>+F152+F153</f>
        <v>0</v>
      </c>
      <c r="G154" s="35">
        <f t="shared" ref="G154" si="47">+G152+G153</f>
        <v>0</v>
      </c>
      <c r="H154" s="35">
        <f>+G154-F154</f>
        <v>0</v>
      </c>
      <c r="I154" s="47">
        <f>+ROUND(IF(H154&gt;0,H154*E152,0),4)</f>
        <v>0</v>
      </c>
      <c r="L154" s="65">
        <f>IFERROR(H154-'Nátok z PRDS'!H154,"N/A")</f>
        <v>0</v>
      </c>
      <c r="M154" s="65">
        <f>IFERROR(H154-'Distribúcia KS v PMDS'!H154,0)</f>
        <v>0</v>
      </c>
    </row>
    <row r="155" spans="1:13" x14ac:dyDescent="0.3">
      <c r="A155" s="299" t="s">
        <v>104</v>
      </c>
      <c r="B155" s="300" t="s">
        <v>124</v>
      </c>
      <c r="C155" s="77" t="s">
        <v>106</v>
      </c>
      <c r="D155" s="114" t="s">
        <v>107</v>
      </c>
      <c r="E155" s="58"/>
      <c r="F155" s="39"/>
      <c r="G155" s="39"/>
      <c r="H155" s="35">
        <f>+G155-F155</f>
        <v>0</v>
      </c>
      <c r="I155" s="47">
        <f t="shared" ref="I155:I156" si="48">+ROUND(IF(H155&gt;0,H155*E155,0),4)</f>
        <v>0</v>
      </c>
      <c r="L155" s="65">
        <f>IFERROR(H155-'Nátok z PRDS'!H155,"N/A")</f>
        <v>0</v>
      </c>
      <c r="M155" s="65">
        <f>IFERROR(H155-'Distribúcia KS v PMDS'!H155,0)</f>
        <v>0</v>
      </c>
    </row>
    <row r="156" spans="1:13" x14ac:dyDescent="0.3">
      <c r="A156" s="299"/>
      <c r="B156" s="300"/>
      <c r="C156" s="77" t="s">
        <v>108</v>
      </c>
      <c r="D156" s="114" t="s">
        <v>109</v>
      </c>
      <c r="E156" s="58"/>
      <c r="F156" s="39"/>
      <c r="G156" s="39"/>
      <c r="H156" s="35">
        <f>+G156-F156</f>
        <v>0</v>
      </c>
      <c r="I156" s="47">
        <f t="shared" si="48"/>
        <v>0</v>
      </c>
      <c r="L156" s="65">
        <f>IFERROR(H156-'Nátok z PRDS'!H156,"N/A")</f>
        <v>0</v>
      </c>
      <c r="M156" s="65">
        <f>IFERROR(H156-'Distribúcia KS v PMDS'!H156,0)</f>
        <v>0</v>
      </c>
    </row>
    <row r="157" spans="1:13" x14ac:dyDescent="0.3">
      <c r="A157" s="299"/>
      <c r="B157" s="300"/>
      <c r="C157" s="77" t="s">
        <v>94</v>
      </c>
      <c r="D157" s="306" t="s">
        <v>75</v>
      </c>
      <c r="E157" s="296">
        <v>0</v>
      </c>
      <c r="F157" s="39"/>
      <c r="G157" s="39"/>
      <c r="H157" s="35" t="s">
        <v>76</v>
      </c>
      <c r="I157" s="35" t="s">
        <v>76</v>
      </c>
      <c r="L157" s="65" t="str">
        <f>IFERROR(H157-'Nátok z PRDS'!H157,"N/A")</f>
        <v>N/A</v>
      </c>
      <c r="M157" s="65">
        <f>IFERROR(H157-'Distribúcia KS v PMDS'!H157,0)</f>
        <v>0</v>
      </c>
    </row>
    <row r="158" spans="1:13" x14ac:dyDescent="0.3">
      <c r="A158" s="299"/>
      <c r="B158" s="300"/>
      <c r="C158" s="77" t="s">
        <v>77</v>
      </c>
      <c r="D158" s="307"/>
      <c r="E158" s="296"/>
      <c r="F158" s="39"/>
      <c r="G158" s="39"/>
      <c r="H158" s="35" t="s">
        <v>76</v>
      </c>
      <c r="I158" s="35" t="s">
        <v>76</v>
      </c>
      <c r="L158" s="65" t="str">
        <f>IFERROR(H158-'Nátok z PRDS'!H158,"N/A")</f>
        <v>N/A</v>
      </c>
      <c r="M158" s="65">
        <f>IFERROR(H158-'Distribúcia KS v PMDS'!H158,0)</f>
        <v>0</v>
      </c>
    </row>
    <row r="159" spans="1:13" x14ac:dyDescent="0.3">
      <c r="A159" s="299"/>
      <c r="B159" s="300"/>
      <c r="C159" s="77" t="s">
        <v>95</v>
      </c>
      <c r="D159" s="308"/>
      <c r="E159" s="296"/>
      <c r="F159" s="35">
        <f>+F157+F158</f>
        <v>0</v>
      </c>
      <c r="G159" s="35">
        <f t="shared" ref="G159" si="49">+G157+G158</f>
        <v>0</v>
      </c>
      <c r="H159" s="35">
        <f>+G159-F159</f>
        <v>0</v>
      </c>
      <c r="I159" s="47">
        <f>+ROUND(IF(H159&gt;0,H159*E157,0),4)</f>
        <v>0</v>
      </c>
      <c r="L159" s="65">
        <f>IFERROR(H159-'Nátok z PRDS'!H159,"N/A")</f>
        <v>0</v>
      </c>
      <c r="M159" s="65">
        <f>IFERROR(H159-'Distribúcia KS v PMDS'!H159,0)</f>
        <v>0</v>
      </c>
    </row>
    <row r="160" spans="1:13" x14ac:dyDescent="0.3">
      <c r="A160" s="299"/>
      <c r="B160" s="300"/>
      <c r="C160" s="77" t="s">
        <v>82</v>
      </c>
      <c r="D160" s="306" t="s">
        <v>75</v>
      </c>
      <c r="E160" s="296">
        <v>0</v>
      </c>
      <c r="F160" s="39"/>
      <c r="G160" s="39"/>
      <c r="H160" s="35" t="s">
        <v>76</v>
      </c>
      <c r="I160" s="35" t="s">
        <v>76</v>
      </c>
      <c r="L160" s="65" t="str">
        <f>IFERROR(H160-'Nátok z PRDS'!H160,"N/A")</f>
        <v>N/A</v>
      </c>
      <c r="M160" s="65">
        <f>IFERROR(H160-'Distribúcia KS v PMDS'!H160,0)</f>
        <v>0</v>
      </c>
    </row>
    <row r="161" spans="1:13" x14ac:dyDescent="0.3">
      <c r="A161" s="299"/>
      <c r="B161" s="300"/>
      <c r="C161" s="77" t="s">
        <v>77</v>
      </c>
      <c r="D161" s="307"/>
      <c r="E161" s="296"/>
      <c r="F161" s="39"/>
      <c r="G161" s="39"/>
      <c r="H161" s="35" t="s">
        <v>76</v>
      </c>
      <c r="I161" s="35" t="s">
        <v>76</v>
      </c>
      <c r="L161" s="65" t="str">
        <f>IFERROR(H161-'Nátok z PRDS'!H161,"N/A")</f>
        <v>N/A</v>
      </c>
      <c r="M161" s="65">
        <f>IFERROR(H161-'Distribúcia KS v PMDS'!H161,0)</f>
        <v>0</v>
      </c>
    </row>
    <row r="162" spans="1:13" x14ac:dyDescent="0.3">
      <c r="A162" s="299"/>
      <c r="B162" s="300"/>
      <c r="C162" s="77" t="s">
        <v>83</v>
      </c>
      <c r="D162" s="308"/>
      <c r="E162" s="296"/>
      <c r="F162" s="35">
        <f>+F160+F161</f>
        <v>0</v>
      </c>
      <c r="G162" s="35">
        <f t="shared" ref="G162" si="50">+G160+G161</f>
        <v>0</v>
      </c>
      <c r="H162" s="35">
        <f>+G162-F162</f>
        <v>0</v>
      </c>
      <c r="I162" s="47">
        <f>+ROUND(IF(H162&gt;0,H162*E160,0),4)</f>
        <v>0</v>
      </c>
      <c r="L162" s="65">
        <f>IFERROR(H162-'Nátok z PRDS'!H162,"N/A")</f>
        <v>0</v>
      </c>
      <c r="M162" s="65">
        <f>IFERROR(H162-'Distribúcia KS v PMDS'!H162,0)</f>
        <v>0</v>
      </c>
    </row>
    <row r="163" spans="1:13" x14ac:dyDescent="0.3">
      <c r="A163" s="299"/>
      <c r="B163" s="300"/>
      <c r="C163" s="77" t="s">
        <v>84</v>
      </c>
      <c r="D163" s="306" t="s">
        <v>75</v>
      </c>
      <c r="E163" s="296">
        <v>0</v>
      </c>
      <c r="F163" s="39"/>
      <c r="G163" s="39"/>
      <c r="H163" s="35" t="s">
        <v>76</v>
      </c>
      <c r="I163" s="35" t="s">
        <v>76</v>
      </c>
      <c r="L163" s="65" t="str">
        <f>IFERROR(H163-'Nátok z PRDS'!H163,"N/A")</f>
        <v>N/A</v>
      </c>
      <c r="M163" s="65">
        <f>IFERROR(H163-'Distribúcia KS v PMDS'!H163,0)</f>
        <v>0</v>
      </c>
    </row>
    <row r="164" spans="1:13" x14ac:dyDescent="0.3">
      <c r="A164" s="299"/>
      <c r="B164" s="300"/>
      <c r="C164" s="77" t="s">
        <v>77</v>
      </c>
      <c r="D164" s="307"/>
      <c r="E164" s="296"/>
      <c r="F164" s="39"/>
      <c r="G164" s="39"/>
      <c r="H164" s="35" t="s">
        <v>76</v>
      </c>
      <c r="I164" s="35" t="s">
        <v>76</v>
      </c>
      <c r="L164" s="65" t="str">
        <f>IFERROR(H164-'Nátok z PRDS'!H164,"N/A")</f>
        <v>N/A</v>
      </c>
      <c r="M164" s="65">
        <f>IFERROR(H164-'Distribúcia KS v PMDS'!H164,0)</f>
        <v>0</v>
      </c>
    </row>
    <row r="165" spans="1:13" x14ac:dyDescent="0.3">
      <c r="A165" s="299"/>
      <c r="B165" s="300"/>
      <c r="C165" s="77" t="s">
        <v>85</v>
      </c>
      <c r="D165" s="308"/>
      <c r="E165" s="296"/>
      <c r="F165" s="35">
        <f>+F163+F164</f>
        <v>0</v>
      </c>
      <c r="G165" s="35">
        <f t="shared" ref="G165" si="51">+G163+G164</f>
        <v>0</v>
      </c>
      <c r="H165" s="35">
        <f>+G165-F165</f>
        <v>0</v>
      </c>
      <c r="I165" s="47">
        <f>+ROUND(IF(H165&gt;0,H165*E163,0),4)</f>
        <v>0</v>
      </c>
      <c r="L165" s="65">
        <f>IFERROR(H165-'Nátok z PRDS'!H165,"N/A")</f>
        <v>0</v>
      </c>
      <c r="M165" s="65">
        <f>IFERROR(H165-'Distribúcia KS v PMDS'!H165,0)</f>
        <v>0</v>
      </c>
    </row>
    <row r="166" spans="1:13" x14ac:dyDescent="0.3">
      <c r="A166" s="299"/>
      <c r="B166" s="300"/>
      <c r="C166" s="77" t="s">
        <v>96</v>
      </c>
      <c r="D166" s="306" t="s">
        <v>75</v>
      </c>
      <c r="E166" s="296">
        <v>0</v>
      </c>
      <c r="F166" s="39"/>
      <c r="G166" s="39"/>
      <c r="H166" s="35" t="s">
        <v>76</v>
      </c>
      <c r="I166" s="35" t="s">
        <v>76</v>
      </c>
      <c r="L166" s="65" t="str">
        <f>IFERROR(H166-'Nátok z PRDS'!H166,"N/A")</f>
        <v>N/A</v>
      </c>
      <c r="M166" s="65">
        <f>IFERROR(H166-'Distribúcia KS v PMDS'!H166,0)</f>
        <v>0</v>
      </c>
    </row>
    <row r="167" spans="1:13" x14ac:dyDescent="0.3">
      <c r="A167" s="299"/>
      <c r="B167" s="300"/>
      <c r="C167" s="77" t="s">
        <v>77</v>
      </c>
      <c r="D167" s="307"/>
      <c r="E167" s="296"/>
      <c r="F167" s="39"/>
      <c r="G167" s="39"/>
      <c r="H167" s="35" t="s">
        <v>76</v>
      </c>
      <c r="I167" s="35" t="s">
        <v>76</v>
      </c>
      <c r="L167" s="65" t="str">
        <f>IFERROR(H167-'Nátok z PRDS'!H167,"N/A")</f>
        <v>N/A</v>
      </c>
      <c r="M167" s="65">
        <f>IFERROR(H167-'Distribúcia KS v PMDS'!H167,0)</f>
        <v>0</v>
      </c>
    </row>
    <row r="168" spans="1:13" x14ac:dyDescent="0.3">
      <c r="A168" s="299"/>
      <c r="B168" s="300"/>
      <c r="C168" s="77" t="s">
        <v>97</v>
      </c>
      <c r="D168" s="308"/>
      <c r="E168" s="296"/>
      <c r="F168" s="35">
        <f>+F166+F167</f>
        <v>0</v>
      </c>
      <c r="G168" s="35">
        <f t="shared" ref="G168" si="52">+G166+G167</f>
        <v>0</v>
      </c>
      <c r="H168" s="35">
        <f>+G168-F168</f>
        <v>0</v>
      </c>
      <c r="I168" s="47">
        <f>+ROUND(IF(H168&gt;0,H168*E166,0),4)</f>
        <v>0</v>
      </c>
      <c r="L168" s="65">
        <f>IFERROR(H168-'Nátok z PRDS'!H168,"N/A")</f>
        <v>0</v>
      </c>
      <c r="M168" s="65">
        <f>IFERROR(H168-'Distribúcia KS v PMDS'!H168,0)</f>
        <v>0</v>
      </c>
    </row>
    <row r="169" spans="1:13" x14ac:dyDescent="0.3">
      <c r="A169" s="314" t="s">
        <v>104</v>
      </c>
      <c r="B169" s="315" t="s">
        <v>103</v>
      </c>
      <c r="C169" s="103" t="s">
        <v>73</v>
      </c>
      <c r="D169" s="111" t="s">
        <v>76</v>
      </c>
      <c r="E169" s="49" t="s">
        <v>76</v>
      </c>
      <c r="F169" s="49" t="s">
        <v>76</v>
      </c>
      <c r="G169" s="49" t="s">
        <v>76</v>
      </c>
      <c r="H169" s="49" t="s">
        <v>76</v>
      </c>
      <c r="I169" s="49">
        <f>SUM(I79:I80,I84:I85,I89:I90,I94:I95,I102:I103,I110:I111,I118:I119,I126:I127,I134:I137,I147:I148,I155:I156,I141:I143)</f>
        <v>0</v>
      </c>
      <c r="L169" s="65" t="str">
        <f>IFERROR(H169-'Nátok z PRDS'!H169,"N/A")</f>
        <v>N/A</v>
      </c>
      <c r="M169" s="65">
        <f>IFERROR(H169-'Distribúcia KS v PMDS'!H169,0)</f>
        <v>0</v>
      </c>
    </row>
    <row r="170" spans="1:13" x14ac:dyDescent="0.3">
      <c r="A170" s="314"/>
      <c r="B170" s="315"/>
      <c r="C170" s="103" t="s">
        <v>78</v>
      </c>
      <c r="D170" s="84" t="s">
        <v>75</v>
      </c>
      <c r="E170" s="49">
        <f>SUM(E81,E86,E91,E96,E99,E104,E107,E112,E115,E120,E123,E128,E131,E138,E144,E149,E152,E157,E160,E163,E166)</f>
        <v>0</v>
      </c>
      <c r="F170" s="49" t="s">
        <v>76</v>
      </c>
      <c r="G170" s="49" t="s">
        <v>76</v>
      </c>
      <c r="H170" s="49" t="s">
        <v>76</v>
      </c>
      <c r="I170" s="49">
        <f>SUM(I83,I88,I93,I98,I101,I106,I109,I114,I117,I122,I125,I130,I133,I140,I146,I151,I154,I159,I162,I165,I168)</f>
        <v>0</v>
      </c>
      <c r="L170" s="65" t="str">
        <f>IFERROR(H170-'Nátok z PRDS'!H170,"N/A")</f>
        <v>N/A</v>
      </c>
      <c r="M170" s="65">
        <f>IFERROR(H170-'Distribúcia KS v PMDS'!H170,0)</f>
        <v>0</v>
      </c>
    </row>
    <row r="171" spans="1:13" x14ac:dyDescent="0.3">
      <c r="A171" s="300" t="s">
        <v>119</v>
      </c>
      <c r="B171" s="300" t="s">
        <v>126</v>
      </c>
      <c r="C171" s="79" t="s">
        <v>127</v>
      </c>
      <c r="D171" s="67" t="s">
        <v>109</v>
      </c>
      <c r="E171" s="58">
        <v>0</v>
      </c>
      <c r="F171" s="58">
        <v>6.1619999999999999</v>
      </c>
      <c r="G171" s="58">
        <v>6.1619999999999999</v>
      </c>
      <c r="H171" s="35">
        <f t="shared" ref="H171:H180" si="53">+G171-F171</f>
        <v>0</v>
      </c>
      <c r="I171" s="47">
        <f>+ROUND(IF(H171&gt;0,H171*E171,0),4)</f>
        <v>0</v>
      </c>
      <c r="L171" s="65">
        <f>IFERROR(H171-'Nátok z PRDS'!H171,"N/A")</f>
        <v>0</v>
      </c>
      <c r="M171" s="65">
        <f>IFERROR(H171-'Distribúcia KS v PMDS'!H171,0)</f>
        <v>0</v>
      </c>
    </row>
    <row r="172" spans="1:13" x14ac:dyDescent="0.3">
      <c r="A172" s="300"/>
      <c r="B172" s="300"/>
      <c r="C172" s="79" t="s">
        <v>128</v>
      </c>
      <c r="D172" s="67" t="s">
        <v>109</v>
      </c>
      <c r="E172" s="58">
        <v>0</v>
      </c>
      <c r="F172" s="58">
        <v>5.3582999999999998</v>
      </c>
      <c r="G172" s="58">
        <v>5.3582999999999998</v>
      </c>
      <c r="H172" s="35">
        <f t="shared" si="53"/>
        <v>0</v>
      </c>
      <c r="I172" s="47">
        <f t="shared" ref="I172:I180" si="54">+ROUND(IF(H172&gt;0,H172*E172,0),4)</f>
        <v>0</v>
      </c>
      <c r="L172" s="65">
        <f>IFERROR(H172-'Nátok z PRDS'!H172,"N/A")</f>
        <v>0</v>
      </c>
      <c r="M172" s="65">
        <f>IFERROR(H172-'Distribúcia KS v PMDS'!H172,0)</f>
        <v>0</v>
      </c>
    </row>
    <row r="173" spans="1:13" x14ac:dyDescent="0.3">
      <c r="A173" s="300"/>
      <c r="B173" s="300"/>
      <c r="C173" s="79" t="s">
        <v>129</v>
      </c>
      <c r="D173" s="67" t="s">
        <v>109</v>
      </c>
      <c r="E173" s="58">
        <v>0</v>
      </c>
      <c r="F173" s="58">
        <v>4.5545</v>
      </c>
      <c r="G173" s="58">
        <v>4.5545</v>
      </c>
      <c r="H173" s="35">
        <f t="shared" si="53"/>
        <v>0</v>
      </c>
      <c r="I173" s="47">
        <f t="shared" si="54"/>
        <v>0</v>
      </c>
      <c r="L173" s="65">
        <f>IFERROR(H173-'Nátok z PRDS'!H173,"N/A")</f>
        <v>0</v>
      </c>
      <c r="M173" s="65">
        <f>IFERROR(H173-'Distribúcia KS v PMDS'!H173,0)</f>
        <v>0</v>
      </c>
    </row>
    <row r="174" spans="1:13" x14ac:dyDescent="0.3">
      <c r="A174" s="300"/>
      <c r="B174" s="300"/>
      <c r="C174" s="80" t="s">
        <v>131</v>
      </c>
      <c r="D174" s="67" t="s">
        <v>109</v>
      </c>
      <c r="E174" s="58">
        <v>0</v>
      </c>
      <c r="F174" s="58"/>
      <c r="G174" s="58"/>
      <c r="H174" s="35">
        <f t="shared" si="53"/>
        <v>0</v>
      </c>
      <c r="I174" s="47">
        <f t="shared" si="54"/>
        <v>0</v>
      </c>
      <c r="L174" s="65">
        <f>IFERROR(H174-'Nátok z PRDS'!H174,"N/A")</f>
        <v>0</v>
      </c>
      <c r="M174" s="65">
        <f>IFERROR(H174-'Distribúcia KS v PMDS'!H174,0)</f>
        <v>0</v>
      </c>
    </row>
    <row r="175" spans="1:13" x14ac:dyDescent="0.3">
      <c r="A175" s="300"/>
      <c r="B175" s="300"/>
      <c r="C175" s="79" t="s">
        <v>132</v>
      </c>
      <c r="D175" s="67" t="s">
        <v>109</v>
      </c>
      <c r="E175" s="58">
        <v>0</v>
      </c>
      <c r="F175" s="39">
        <v>0.92430000000000001</v>
      </c>
      <c r="G175" s="39">
        <v>0.92430000000000001</v>
      </c>
      <c r="H175" s="35">
        <f t="shared" si="53"/>
        <v>0</v>
      </c>
      <c r="I175" s="47">
        <f t="shared" si="54"/>
        <v>0</v>
      </c>
      <c r="L175" s="65">
        <f>IFERROR(H175-'Nátok z PRDS'!H175,"N/A")</f>
        <v>0</v>
      </c>
      <c r="M175" s="65">
        <f>IFERROR(H175-'Distribúcia KS v PMDS'!H175,0)</f>
        <v>0</v>
      </c>
    </row>
    <row r="176" spans="1:13" x14ac:dyDescent="0.3">
      <c r="A176" s="300"/>
      <c r="B176" s="300"/>
      <c r="C176" s="79" t="s">
        <v>133</v>
      </c>
      <c r="D176" s="67" t="s">
        <v>109</v>
      </c>
      <c r="E176" s="58">
        <v>0</v>
      </c>
      <c r="F176" s="39">
        <v>0.80369999999999997</v>
      </c>
      <c r="G176" s="39">
        <v>0.80369999999999997</v>
      </c>
      <c r="H176" s="35">
        <f t="shared" si="53"/>
        <v>0</v>
      </c>
      <c r="I176" s="47">
        <f t="shared" si="54"/>
        <v>0</v>
      </c>
      <c r="L176" s="65">
        <f>IFERROR(H176-'Nátok z PRDS'!H176,"N/A")</f>
        <v>0</v>
      </c>
      <c r="M176" s="65">
        <f>IFERROR(H176-'Distribúcia KS v PMDS'!H176,0)</f>
        <v>0</v>
      </c>
    </row>
    <row r="177" spans="1:13" x14ac:dyDescent="0.3">
      <c r="A177" s="300"/>
      <c r="B177" s="300"/>
      <c r="C177" s="79" t="s">
        <v>134</v>
      </c>
      <c r="D177" s="67" t="s">
        <v>109</v>
      </c>
      <c r="E177" s="58">
        <v>0</v>
      </c>
      <c r="F177" s="39">
        <v>0.68320000000000003</v>
      </c>
      <c r="G177" s="39">
        <v>0.68320000000000003</v>
      </c>
      <c r="H177" s="35">
        <f t="shared" si="53"/>
        <v>0</v>
      </c>
      <c r="I177" s="47">
        <f t="shared" si="54"/>
        <v>0</v>
      </c>
      <c r="L177" s="65">
        <f>IFERROR(H177-'Nátok z PRDS'!H177,"N/A")</f>
        <v>0</v>
      </c>
      <c r="M177" s="65">
        <f>IFERROR(H177-'Distribúcia KS v PMDS'!H177,0)</f>
        <v>0</v>
      </c>
    </row>
    <row r="178" spans="1:13" x14ac:dyDescent="0.3">
      <c r="A178" s="300"/>
      <c r="B178" s="300"/>
      <c r="C178" s="79" t="s">
        <v>135</v>
      </c>
      <c r="D178" s="67" t="s">
        <v>109</v>
      </c>
      <c r="E178" s="58">
        <v>0</v>
      </c>
      <c r="F178" s="39">
        <v>0.4622</v>
      </c>
      <c r="G178" s="39">
        <v>0.4622</v>
      </c>
      <c r="H178" s="35">
        <f t="shared" si="53"/>
        <v>0</v>
      </c>
      <c r="I178" s="47">
        <f t="shared" si="54"/>
        <v>0</v>
      </c>
      <c r="L178" s="65">
        <f>IFERROR(H178-'Nátok z PRDS'!H178,"N/A")</f>
        <v>0</v>
      </c>
      <c r="M178" s="65">
        <f>IFERROR(H178-'Distribúcia KS v PMDS'!H178,0)</f>
        <v>0</v>
      </c>
    </row>
    <row r="179" spans="1:13" x14ac:dyDescent="0.3">
      <c r="A179" s="300"/>
      <c r="B179" s="300"/>
      <c r="C179" s="79" t="s">
        <v>136</v>
      </c>
      <c r="D179" s="67" t="s">
        <v>109</v>
      </c>
      <c r="E179" s="58">
        <v>0</v>
      </c>
      <c r="F179" s="39">
        <v>0.40189999999999998</v>
      </c>
      <c r="G179" s="39">
        <v>0.40189999999999998</v>
      </c>
      <c r="H179" s="35">
        <f t="shared" si="53"/>
        <v>0</v>
      </c>
      <c r="I179" s="47">
        <f t="shared" si="54"/>
        <v>0</v>
      </c>
      <c r="L179" s="65">
        <f>IFERROR(H179-'Nátok z PRDS'!H179,"N/A")</f>
        <v>0</v>
      </c>
      <c r="M179" s="65">
        <f>IFERROR(H179-'Distribúcia KS v PMDS'!H179,0)</f>
        <v>0</v>
      </c>
    </row>
    <row r="180" spans="1:13" x14ac:dyDescent="0.3">
      <c r="A180" s="300"/>
      <c r="B180" s="300"/>
      <c r="C180" s="79" t="s">
        <v>137</v>
      </c>
      <c r="D180" s="67" t="s">
        <v>109</v>
      </c>
      <c r="E180" s="58">
        <v>0</v>
      </c>
      <c r="F180" s="39">
        <v>0.34160000000000001</v>
      </c>
      <c r="G180" s="39">
        <v>0.34160000000000001</v>
      </c>
      <c r="H180" s="35">
        <f t="shared" si="53"/>
        <v>0</v>
      </c>
      <c r="I180" s="47">
        <f t="shared" si="54"/>
        <v>0</v>
      </c>
      <c r="L180" s="65">
        <f>IFERROR(H180-'Nátok z PRDS'!H180,"N/A")</f>
        <v>0</v>
      </c>
      <c r="M180" s="65">
        <f>IFERROR(H180-'Distribúcia KS v PMDS'!H180,0)</f>
        <v>0</v>
      </c>
    </row>
    <row r="181" spans="1:13" x14ac:dyDescent="0.3">
      <c r="A181" s="300"/>
      <c r="B181" s="300"/>
      <c r="C181" s="79" t="s">
        <v>74</v>
      </c>
      <c r="D181" s="306" t="s">
        <v>75</v>
      </c>
      <c r="E181" s="296"/>
      <c r="F181" s="39">
        <v>9.8740000000000006</v>
      </c>
      <c r="G181" s="39">
        <v>8.3669999999999991</v>
      </c>
      <c r="H181" s="35" t="s">
        <v>76</v>
      </c>
      <c r="I181" s="35" t="s">
        <v>76</v>
      </c>
      <c r="L181" s="65" t="str">
        <f>IFERROR(H181-'Nátok z PRDS'!H181,"N/A")</f>
        <v>N/A</v>
      </c>
      <c r="M181" s="65">
        <f>IFERROR(H181-'Distribúcia KS v PMDS'!H181,0)</f>
        <v>0</v>
      </c>
    </row>
    <row r="182" spans="1:13" x14ac:dyDescent="0.3">
      <c r="A182" s="300"/>
      <c r="B182" s="300"/>
      <c r="C182" s="79" t="s">
        <v>77</v>
      </c>
      <c r="D182" s="307"/>
      <c r="E182" s="296"/>
      <c r="F182" s="39">
        <v>5.07</v>
      </c>
      <c r="G182" s="39">
        <v>7.44</v>
      </c>
      <c r="H182" s="35" t="s">
        <v>76</v>
      </c>
      <c r="I182" s="35" t="s">
        <v>76</v>
      </c>
      <c r="L182" s="65" t="str">
        <f>IFERROR(H182-'Nátok z PRDS'!H182,"N/A")</f>
        <v>N/A</v>
      </c>
      <c r="M182" s="65">
        <f>IFERROR(H182-'Distribúcia KS v PMDS'!H182,0)</f>
        <v>0</v>
      </c>
    </row>
    <row r="183" spans="1:13" x14ac:dyDescent="0.3">
      <c r="A183" s="300"/>
      <c r="B183" s="300"/>
      <c r="C183" s="79" t="s">
        <v>78</v>
      </c>
      <c r="D183" s="308"/>
      <c r="E183" s="296"/>
      <c r="F183" s="35">
        <f>+F181+F182</f>
        <v>14.944000000000001</v>
      </c>
      <c r="G183" s="35">
        <f t="shared" ref="G183" si="55">+G181+G182</f>
        <v>15.806999999999999</v>
      </c>
      <c r="H183" s="35">
        <f>+G183-F183</f>
        <v>0.86299999999999777</v>
      </c>
      <c r="I183" s="47">
        <f>+ROUND(IF(H183&gt;0,H183*E181,0),4)</f>
        <v>0</v>
      </c>
      <c r="L183" s="65">
        <f>IFERROR(H183-'Nátok z PRDS'!H183,"N/A")</f>
        <v>0.86299999999999777</v>
      </c>
      <c r="M183" s="65">
        <f>IFERROR(H183-'Distribúcia KS v PMDS'!H183,0)</f>
        <v>0.86299999999999777</v>
      </c>
    </row>
    <row r="184" spans="1:13" x14ac:dyDescent="0.3">
      <c r="A184" s="300"/>
      <c r="B184" s="300"/>
      <c r="C184" s="79" t="s">
        <v>138</v>
      </c>
      <c r="D184" s="306" t="s">
        <v>75</v>
      </c>
      <c r="E184" s="296">
        <v>0</v>
      </c>
      <c r="F184" s="39">
        <v>9.8740000000000006</v>
      </c>
      <c r="G184" s="39">
        <v>7.9489999999999998</v>
      </c>
      <c r="H184" s="35" t="s">
        <v>76</v>
      </c>
      <c r="I184" s="35" t="s">
        <v>76</v>
      </c>
      <c r="L184" s="65" t="str">
        <f>IFERROR(H184-'Nátok z PRDS'!H184,"N/A")</f>
        <v>N/A</v>
      </c>
      <c r="M184" s="65">
        <f>IFERROR(H184-'Distribúcia KS v PMDS'!H184,0)</f>
        <v>0</v>
      </c>
    </row>
    <row r="185" spans="1:13" x14ac:dyDescent="0.3">
      <c r="A185" s="300"/>
      <c r="B185" s="300"/>
      <c r="C185" s="79" t="s">
        <v>77</v>
      </c>
      <c r="D185" s="307"/>
      <c r="E185" s="296"/>
      <c r="F185" s="39">
        <v>5.07</v>
      </c>
      <c r="G185" s="39">
        <v>7.44</v>
      </c>
      <c r="H185" s="35" t="s">
        <v>76</v>
      </c>
      <c r="I185" s="35" t="s">
        <v>76</v>
      </c>
      <c r="L185" s="65" t="str">
        <f>IFERROR(H185-'Nátok z PRDS'!H185,"N/A")</f>
        <v>N/A</v>
      </c>
      <c r="M185" s="65">
        <f>IFERROR(H185-'Distribúcia KS v PMDS'!H185,0)</f>
        <v>0</v>
      </c>
    </row>
    <row r="186" spans="1:13" x14ac:dyDescent="0.3">
      <c r="A186" s="300"/>
      <c r="B186" s="300"/>
      <c r="C186" s="79" t="s">
        <v>139</v>
      </c>
      <c r="D186" s="308"/>
      <c r="E186" s="296"/>
      <c r="F186" s="35">
        <f>+F184+F185</f>
        <v>14.944000000000001</v>
      </c>
      <c r="G186" s="35">
        <f t="shared" ref="G186" si="56">+G184+G185</f>
        <v>15.388999999999999</v>
      </c>
      <c r="H186" s="35">
        <f>+G186-F186</f>
        <v>0.44499999999999851</v>
      </c>
      <c r="I186" s="47">
        <f>+ROUND(IF(H186&gt;0,H186*E184,0),4)</f>
        <v>0</v>
      </c>
      <c r="L186" s="65">
        <f>IFERROR(H186-'Nátok z PRDS'!H186,"N/A")</f>
        <v>0.44499999999999851</v>
      </c>
      <c r="M186" s="65">
        <f>IFERROR(H186-'Distribúcia KS v PMDS'!H186,0)</f>
        <v>0.44499999999999851</v>
      </c>
    </row>
    <row r="187" spans="1:13" x14ac:dyDescent="0.3">
      <c r="A187" s="300"/>
      <c r="B187" s="300"/>
      <c r="C187" s="79" t="s">
        <v>140</v>
      </c>
      <c r="D187" s="306" t="s">
        <v>75</v>
      </c>
      <c r="E187" s="296">
        <v>0</v>
      </c>
      <c r="F187" s="39">
        <v>9.8740000000000006</v>
      </c>
      <c r="G187" s="39">
        <v>7.53</v>
      </c>
      <c r="H187" s="35" t="s">
        <v>76</v>
      </c>
      <c r="I187" s="35" t="s">
        <v>76</v>
      </c>
      <c r="L187" s="65" t="str">
        <f>IFERROR(H187-'Nátok z PRDS'!H187,"N/A")</f>
        <v>N/A</v>
      </c>
      <c r="M187" s="65">
        <f>IFERROR(H187-'Distribúcia KS v PMDS'!H187,0)</f>
        <v>0</v>
      </c>
    </row>
    <row r="188" spans="1:13" x14ac:dyDescent="0.3">
      <c r="A188" s="300"/>
      <c r="B188" s="300"/>
      <c r="C188" s="79" t="s">
        <v>77</v>
      </c>
      <c r="D188" s="307"/>
      <c r="E188" s="296"/>
      <c r="F188" s="39">
        <v>5.07</v>
      </c>
      <c r="G188" s="39">
        <v>7.44</v>
      </c>
      <c r="H188" s="35" t="s">
        <v>76</v>
      </c>
      <c r="I188" s="35" t="s">
        <v>76</v>
      </c>
      <c r="L188" s="65" t="str">
        <f>IFERROR(H188-'Nátok z PRDS'!H188,"N/A")</f>
        <v>N/A</v>
      </c>
      <c r="M188" s="65">
        <f>IFERROR(H188-'Distribúcia KS v PMDS'!H188,0)</f>
        <v>0</v>
      </c>
    </row>
    <row r="189" spans="1:13" x14ac:dyDescent="0.3">
      <c r="A189" s="300"/>
      <c r="B189" s="300"/>
      <c r="C189" s="79" t="s">
        <v>141</v>
      </c>
      <c r="D189" s="308"/>
      <c r="E189" s="296"/>
      <c r="F189" s="35">
        <f>+F187+F188</f>
        <v>14.944000000000001</v>
      </c>
      <c r="G189" s="35">
        <f t="shared" ref="G189" si="57">+G187+G188</f>
        <v>14.97</v>
      </c>
      <c r="H189" s="35">
        <f>+G189-F189</f>
        <v>2.5999999999999801E-2</v>
      </c>
      <c r="I189" s="47">
        <f>+ROUND(IF(H189&gt;0,H189*E187,0),4)</f>
        <v>0</v>
      </c>
      <c r="L189" s="65">
        <f>IFERROR(H189-'Nátok z PRDS'!H189,"N/A")</f>
        <v>2.5999999999999801E-2</v>
      </c>
      <c r="M189" s="65">
        <f>IFERROR(H189-'Distribúcia KS v PMDS'!H189,0)</f>
        <v>2.5999999999999801E-2</v>
      </c>
    </row>
    <row r="190" spans="1:13" x14ac:dyDescent="0.3">
      <c r="A190" s="299" t="s">
        <v>119</v>
      </c>
      <c r="B190" s="300" t="s">
        <v>142</v>
      </c>
      <c r="C190" s="77" t="s">
        <v>73</v>
      </c>
      <c r="D190" s="114" t="s">
        <v>109</v>
      </c>
      <c r="E190" s="58">
        <v>0</v>
      </c>
      <c r="F190" s="39">
        <v>0.17749999999999999</v>
      </c>
      <c r="G190" s="39">
        <v>0.17749999999999999</v>
      </c>
      <c r="H190" s="35">
        <f>+G190-F190</f>
        <v>0</v>
      </c>
      <c r="I190" s="47">
        <f>+ROUND(IF(H190&gt;0,H190*E190,0),4)</f>
        <v>0</v>
      </c>
      <c r="L190" s="65">
        <f>IFERROR(H190-'Nátok z PRDS'!H190,"N/A")</f>
        <v>0</v>
      </c>
      <c r="M190" s="65">
        <f>IFERROR(H190-'Distribúcia KS v PMDS'!H190,0)</f>
        <v>0</v>
      </c>
    </row>
    <row r="191" spans="1:13" x14ac:dyDescent="0.3">
      <c r="A191" s="299"/>
      <c r="B191" s="300"/>
      <c r="C191" s="77" t="s">
        <v>74</v>
      </c>
      <c r="D191" s="306" t="s">
        <v>75</v>
      </c>
      <c r="E191" s="296">
        <v>0</v>
      </c>
      <c r="F191" s="39">
        <v>28.991</v>
      </c>
      <c r="G191" s="39">
        <v>26.620999999999999</v>
      </c>
      <c r="H191" s="35" t="s">
        <v>76</v>
      </c>
      <c r="I191" s="35" t="s">
        <v>76</v>
      </c>
      <c r="L191" s="65" t="str">
        <f>IFERROR(H191-'Nátok z PRDS'!H191,"N/A")</f>
        <v>N/A</v>
      </c>
      <c r="M191" s="65">
        <f>IFERROR(H191-'Distribúcia KS v PMDS'!H191,0)</f>
        <v>0</v>
      </c>
    </row>
    <row r="192" spans="1:13" x14ac:dyDescent="0.3">
      <c r="A192" s="299"/>
      <c r="B192" s="300"/>
      <c r="C192" s="77" t="s">
        <v>77</v>
      </c>
      <c r="D192" s="307"/>
      <c r="E192" s="296"/>
      <c r="F192" s="39">
        <v>5.07</v>
      </c>
      <c r="G192" s="39">
        <v>7.44</v>
      </c>
      <c r="H192" s="35" t="s">
        <v>76</v>
      </c>
      <c r="I192" s="35" t="s">
        <v>76</v>
      </c>
      <c r="L192" s="65" t="str">
        <f>IFERROR(H192-'Nátok z PRDS'!H192,"N/A")</f>
        <v>N/A</v>
      </c>
      <c r="M192" s="65">
        <f>IFERROR(H192-'Distribúcia KS v PMDS'!H192,0)</f>
        <v>0</v>
      </c>
    </row>
    <row r="193" spans="1:13" x14ac:dyDescent="0.3">
      <c r="A193" s="299"/>
      <c r="B193" s="300"/>
      <c r="C193" s="77" t="s">
        <v>78</v>
      </c>
      <c r="D193" s="308"/>
      <c r="E193" s="296"/>
      <c r="F193" s="35">
        <f>+F191+F192</f>
        <v>34.061</v>
      </c>
      <c r="G193" s="35">
        <f t="shared" ref="G193" si="58">+G191+G192</f>
        <v>34.061</v>
      </c>
      <c r="H193" s="35">
        <f>+G193-F193</f>
        <v>0</v>
      </c>
      <c r="I193" s="47">
        <f>+ROUND(IF(H193&gt;0,H193*E191,0),4)</f>
        <v>0</v>
      </c>
      <c r="L193" s="65">
        <f>IFERROR(H193-'Nátok z PRDS'!H193,"N/A")</f>
        <v>0</v>
      </c>
      <c r="M193" s="65">
        <f>IFERROR(H193-'Distribúcia KS v PMDS'!H193,0)</f>
        <v>0</v>
      </c>
    </row>
    <row r="194" spans="1:13" x14ac:dyDescent="0.3">
      <c r="A194" s="311" t="s">
        <v>119</v>
      </c>
      <c r="B194" s="312" t="s">
        <v>143</v>
      </c>
      <c r="C194" s="78" t="s">
        <v>144</v>
      </c>
      <c r="D194" s="115"/>
      <c r="E194" s="59"/>
      <c r="F194" s="43"/>
      <c r="G194" s="43"/>
      <c r="H194" s="36">
        <f>+G194-F194</f>
        <v>0</v>
      </c>
      <c r="I194" s="48">
        <f>ROUND(IF(H194&gt;0,H194*E194,0),4)</f>
        <v>0</v>
      </c>
      <c r="L194" s="65">
        <f>IFERROR(H194-'Nátok z PRDS'!H194,"N/A")</f>
        <v>0</v>
      </c>
      <c r="M194" s="65">
        <f>IFERROR(H194-'Distribúcia KS v PMDS'!H194,0)</f>
        <v>0</v>
      </c>
    </row>
    <row r="195" spans="1:13" x14ac:dyDescent="0.3">
      <c r="A195" s="311"/>
      <c r="B195" s="312"/>
      <c r="C195" s="78" t="s">
        <v>74</v>
      </c>
      <c r="D195" s="306" t="s">
        <v>75</v>
      </c>
      <c r="E195" s="313"/>
      <c r="F195" s="43"/>
      <c r="G195" s="43"/>
      <c r="H195" s="36" t="s">
        <v>76</v>
      </c>
      <c r="I195" s="36" t="s">
        <v>76</v>
      </c>
      <c r="L195" s="65" t="str">
        <f>IFERROR(H195-'Nátok z PRDS'!H195,"N/A")</f>
        <v>N/A</v>
      </c>
      <c r="M195" s="65">
        <f>IFERROR(H195-'Distribúcia KS v PMDS'!H195,0)</f>
        <v>0</v>
      </c>
    </row>
    <row r="196" spans="1:13" x14ac:dyDescent="0.3">
      <c r="A196" s="311"/>
      <c r="B196" s="312"/>
      <c r="C196" s="78" t="s">
        <v>77</v>
      </c>
      <c r="D196" s="307"/>
      <c r="E196" s="313"/>
      <c r="F196" s="43"/>
      <c r="G196" s="43"/>
      <c r="H196" s="36" t="s">
        <v>76</v>
      </c>
      <c r="I196" s="36" t="s">
        <v>76</v>
      </c>
      <c r="L196" s="65" t="str">
        <f>IFERROR(H196-'Nátok z PRDS'!H196,"N/A")</f>
        <v>N/A</v>
      </c>
      <c r="M196" s="65">
        <f>IFERROR(H196-'Distribúcia KS v PMDS'!H196,0)</f>
        <v>0</v>
      </c>
    </row>
    <row r="197" spans="1:13" x14ac:dyDescent="0.3">
      <c r="A197" s="311"/>
      <c r="B197" s="312"/>
      <c r="C197" s="78" t="s">
        <v>78</v>
      </c>
      <c r="D197" s="308"/>
      <c r="E197" s="313"/>
      <c r="F197" s="36">
        <f>+F195+F196</f>
        <v>0</v>
      </c>
      <c r="G197" s="36">
        <f t="shared" ref="G197" si="59">+G195+G196</f>
        <v>0</v>
      </c>
      <c r="H197" s="36">
        <f>+G197-F197</f>
        <v>0</v>
      </c>
      <c r="I197" s="48">
        <f>ROUND(IF(H197&gt;0,H197*E195,0),4)</f>
        <v>0</v>
      </c>
      <c r="L197" s="65">
        <f>IFERROR(H197-'Nátok z PRDS'!H197,"N/A")</f>
        <v>0</v>
      </c>
      <c r="M197" s="65">
        <f>IFERROR(H197-'Distribúcia KS v PMDS'!H197,0)</f>
        <v>0</v>
      </c>
    </row>
    <row r="198" spans="1:13" x14ac:dyDescent="0.3">
      <c r="A198" s="299" t="s">
        <v>119</v>
      </c>
      <c r="B198" s="300" t="s">
        <v>145</v>
      </c>
      <c r="C198" s="77" t="s">
        <v>74</v>
      </c>
      <c r="D198" s="306" t="s">
        <v>75</v>
      </c>
      <c r="E198" s="296">
        <v>0</v>
      </c>
      <c r="F198" s="39">
        <v>22.356999999999999</v>
      </c>
      <c r="G198" s="39">
        <v>22.49</v>
      </c>
      <c r="H198" s="35" t="s">
        <v>76</v>
      </c>
      <c r="I198" s="35" t="s">
        <v>76</v>
      </c>
      <c r="L198" s="65" t="str">
        <f>IFERROR(H198-'Nátok z PRDS'!H198,"N/A")</f>
        <v>N/A</v>
      </c>
      <c r="M198" s="65">
        <f>IFERROR(H198-'Distribúcia KS v PMDS'!H198,0)</f>
        <v>0</v>
      </c>
    </row>
    <row r="199" spans="1:13" x14ac:dyDescent="0.3">
      <c r="A199" s="299"/>
      <c r="B199" s="300"/>
      <c r="C199" s="77" t="s">
        <v>77</v>
      </c>
      <c r="D199" s="307"/>
      <c r="E199" s="296"/>
      <c r="F199" s="39">
        <v>5.07</v>
      </c>
      <c r="G199" s="39">
        <v>7.44</v>
      </c>
      <c r="H199" s="35" t="s">
        <v>76</v>
      </c>
      <c r="I199" s="35" t="s">
        <v>76</v>
      </c>
      <c r="L199" s="65" t="str">
        <f>IFERROR(H199-'Nátok z PRDS'!H199,"N/A")</f>
        <v>N/A</v>
      </c>
      <c r="M199" s="65">
        <f>IFERROR(H199-'Distribúcia KS v PMDS'!H199,0)</f>
        <v>0</v>
      </c>
    </row>
    <row r="200" spans="1:13" x14ac:dyDescent="0.3">
      <c r="A200" s="299"/>
      <c r="B200" s="300"/>
      <c r="C200" s="77" t="s">
        <v>78</v>
      </c>
      <c r="D200" s="308"/>
      <c r="E200" s="296"/>
      <c r="F200" s="35">
        <f>+F198+F199</f>
        <v>27.427</v>
      </c>
      <c r="G200" s="35">
        <f t="shared" ref="G200" si="60">+G198+G199</f>
        <v>29.93</v>
      </c>
      <c r="H200" s="35">
        <f>+G200-F200</f>
        <v>2.5030000000000001</v>
      </c>
      <c r="I200" s="47">
        <f>+ROUND(IF(H200&gt;0,H200*E198,0),4)</f>
        <v>0</v>
      </c>
      <c r="L200" s="65">
        <f>IFERROR(H200-'Nátok z PRDS'!H200,"N/A")</f>
        <v>2.5030000000000001</v>
      </c>
      <c r="M200" s="65">
        <f>IFERROR(H200-'Distribúcia KS v PMDS'!H200,0)</f>
        <v>2.5030000000000001</v>
      </c>
    </row>
    <row r="201" spans="1:13" x14ac:dyDescent="0.3">
      <c r="A201" s="314" t="s">
        <v>119</v>
      </c>
      <c r="B201" s="315" t="s">
        <v>103</v>
      </c>
      <c r="C201" s="103" t="s">
        <v>73</v>
      </c>
      <c r="D201" s="110" t="s">
        <v>76</v>
      </c>
      <c r="E201" s="49" t="s">
        <v>76</v>
      </c>
      <c r="F201" s="49" t="s">
        <v>76</v>
      </c>
      <c r="G201" s="49" t="s">
        <v>76</v>
      </c>
      <c r="H201" s="49" t="s">
        <v>76</v>
      </c>
      <c r="I201" s="49">
        <f>+SUM(I171:I180,I190,I194)</f>
        <v>0</v>
      </c>
      <c r="L201" s="65" t="str">
        <f>IFERROR(H201-'Nátok z PRDS'!H201,"N/A")</f>
        <v>N/A</v>
      </c>
      <c r="M201" s="65">
        <f>IFERROR(H201-'Distribúcia KS v PMDS'!H201,0)</f>
        <v>0</v>
      </c>
    </row>
    <row r="202" spans="1:13" x14ac:dyDescent="0.3">
      <c r="A202" s="314"/>
      <c r="B202" s="315"/>
      <c r="C202" s="103" t="s">
        <v>78</v>
      </c>
      <c r="D202" s="84" t="s">
        <v>75</v>
      </c>
      <c r="E202" s="49">
        <f>+E181+E184+E187+E191+E198+E195</f>
        <v>0</v>
      </c>
      <c r="F202" s="49" t="s">
        <v>76</v>
      </c>
      <c r="G202" s="49" t="s">
        <v>76</v>
      </c>
      <c r="H202" s="49" t="s">
        <v>76</v>
      </c>
      <c r="I202" s="49">
        <f>+I183+I186+I189+I193+I200+I197</f>
        <v>0</v>
      </c>
      <c r="L202" s="65" t="str">
        <f>IFERROR(H202-'Nátok z PRDS'!H202,"N/A")</f>
        <v>N/A</v>
      </c>
      <c r="M202" s="65">
        <f>IFERROR(H202-'Distribúcia KS v PMDS'!H202,0)</f>
        <v>0</v>
      </c>
    </row>
    <row r="203" spans="1:13" x14ac:dyDescent="0.3">
      <c r="A203" s="300" t="s">
        <v>146</v>
      </c>
      <c r="B203" s="300" t="s">
        <v>147</v>
      </c>
      <c r="C203" s="79" t="s">
        <v>127</v>
      </c>
      <c r="D203" s="114" t="s">
        <v>109</v>
      </c>
      <c r="E203" s="58"/>
      <c r="F203" s="39">
        <v>3.0442</v>
      </c>
      <c r="G203" s="39">
        <v>3.0442</v>
      </c>
      <c r="H203" s="35">
        <f t="shared" ref="H203:H211" si="61">+G203-F203</f>
        <v>0</v>
      </c>
      <c r="I203" s="47">
        <f t="shared" ref="I203:I211" si="62">+ROUND(IF(H203&gt;0,H203*E203,0),4)</f>
        <v>0</v>
      </c>
      <c r="L203" s="65">
        <f>IFERROR(H203-'Nátok z PRDS'!H203,"N/A")</f>
        <v>0</v>
      </c>
      <c r="M203" s="65">
        <f>IFERROR(H203-'Distribúcia KS v PMDS'!H203,0)</f>
        <v>0</v>
      </c>
    </row>
    <row r="204" spans="1:13" x14ac:dyDescent="0.3">
      <c r="A204" s="300"/>
      <c r="B204" s="300"/>
      <c r="C204" s="79" t="s">
        <v>128</v>
      </c>
      <c r="D204" s="114" t="s">
        <v>109</v>
      </c>
      <c r="E204" s="58"/>
      <c r="F204" s="39">
        <v>2.6471</v>
      </c>
      <c r="G204" s="39">
        <v>2.6471</v>
      </c>
      <c r="H204" s="35">
        <f t="shared" si="61"/>
        <v>0</v>
      </c>
      <c r="I204" s="47">
        <f t="shared" si="62"/>
        <v>0</v>
      </c>
      <c r="L204" s="65">
        <f>IFERROR(H204-'Nátok z PRDS'!H204,"N/A")</f>
        <v>0</v>
      </c>
      <c r="M204" s="65">
        <f>IFERROR(H204-'Distribúcia KS v PMDS'!H204,0)</f>
        <v>0</v>
      </c>
    </row>
    <row r="205" spans="1:13" x14ac:dyDescent="0.3">
      <c r="A205" s="300"/>
      <c r="B205" s="300"/>
      <c r="C205" s="79" t="s">
        <v>129</v>
      </c>
      <c r="D205" s="114" t="s">
        <v>109</v>
      </c>
      <c r="E205" s="58"/>
      <c r="F205" s="39">
        <v>2.2501000000000002</v>
      </c>
      <c r="G205" s="39">
        <v>2.2501000000000002</v>
      </c>
      <c r="H205" s="35">
        <f t="shared" si="61"/>
        <v>0</v>
      </c>
      <c r="I205" s="47">
        <f t="shared" si="62"/>
        <v>0</v>
      </c>
      <c r="L205" s="65">
        <f>IFERROR(H205-'Nátok z PRDS'!H205,"N/A")</f>
        <v>0</v>
      </c>
      <c r="M205" s="65">
        <f>IFERROR(H205-'Distribúcia KS v PMDS'!H205,0)</f>
        <v>0</v>
      </c>
    </row>
    <row r="206" spans="1:13" x14ac:dyDescent="0.3">
      <c r="A206" s="300"/>
      <c r="B206" s="300"/>
      <c r="C206" s="79" t="s">
        <v>148</v>
      </c>
      <c r="D206" s="114" t="s">
        <v>109</v>
      </c>
      <c r="E206" s="58"/>
      <c r="F206" s="39">
        <v>0.45660000000000001</v>
      </c>
      <c r="G206" s="39">
        <v>0.45660000000000001</v>
      </c>
      <c r="H206" s="35">
        <f t="shared" si="61"/>
        <v>0</v>
      </c>
      <c r="I206" s="47">
        <f t="shared" si="62"/>
        <v>0</v>
      </c>
      <c r="L206" s="65">
        <f>IFERROR(H206-'Nátok z PRDS'!H206,"N/A")</f>
        <v>0</v>
      </c>
      <c r="M206" s="65">
        <f>IFERROR(H206-'Distribúcia KS v PMDS'!H206,0)</f>
        <v>0</v>
      </c>
    </row>
    <row r="207" spans="1:13" x14ac:dyDescent="0.3">
      <c r="A207" s="300"/>
      <c r="B207" s="300"/>
      <c r="C207" s="79" t="s">
        <v>149</v>
      </c>
      <c r="D207" s="114" t="s">
        <v>109</v>
      </c>
      <c r="E207" s="58"/>
      <c r="F207" s="39">
        <v>0.39710000000000001</v>
      </c>
      <c r="G207" s="39">
        <v>0.39710000000000001</v>
      </c>
      <c r="H207" s="35">
        <f t="shared" si="61"/>
        <v>0</v>
      </c>
      <c r="I207" s="47">
        <f t="shared" si="62"/>
        <v>0</v>
      </c>
      <c r="L207" s="65">
        <f>IFERROR(H207-'Nátok z PRDS'!H207,"N/A")</f>
        <v>0</v>
      </c>
      <c r="M207" s="65">
        <f>IFERROR(H207-'Distribúcia KS v PMDS'!H207,0)</f>
        <v>0</v>
      </c>
    </row>
    <row r="208" spans="1:13" x14ac:dyDescent="0.3">
      <c r="A208" s="300"/>
      <c r="B208" s="300"/>
      <c r="C208" s="79" t="s">
        <v>150</v>
      </c>
      <c r="D208" s="114" t="s">
        <v>109</v>
      </c>
      <c r="E208" s="58"/>
      <c r="F208" s="39">
        <v>0.33750000000000002</v>
      </c>
      <c r="G208" s="39">
        <v>0.33750000000000002</v>
      </c>
      <c r="H208" s="35">
        <f t="shared" si="61"/>
        <v>0</v>
      </c>
      <c r="I208" s="47">
        <f t="shared" si="62"/>
        <v>0</v>
      </c>
      <c r="L208" s="65">
        <f>IFERROR(H208-'Nátok z PRDS'!H208,"N/A")</f>
        <v>0</v>
      </c>
      <c r="M208" s="65">
        <f>IFERROR(H208-'Distribúcia KS v PMDS'!H208,0)</f>
        <v>0</v>
      </c>
    </row>
    <row r="209" spans="1:13" x14ac:dyDescent="0.3">
      <c r="A209" s="300"/>
      <c r="B209" s="300"/>
      <c r="C209" s="79" t="s">
        <v>151</v>
      </c>
      <c r="D209" s="114" t="s">
        <v>109</v>
      </c>
      <c r="E209" s="58"/>
      <c r="F209" s="39">
        <v>0.2283</v>
      </c>
      <c r="G209" s="39">
        <v>0.2283</v>
      </c>
      <c r="H209" s="35">
        <f t="shared" si="61"/>
        <v>0</v>
      </c>
      <c r="I209" s="47">
        <f t="shared" si="62"/>
        <v>0</v>
      </c>
      <c r="L209" s="65">
        <f>IFERROR(H209-'Nátok z PRDS'!H209,"N/A")</f>
        <v>0</v>
      </c>
      <c r="M209" s="65">
        <f>IFERROR(H209-'Distribúcia KS v PMDS'!H209,0)</f>
        <v>0</v>
      </c>
    </row>
    <row r="210" spans="1:13" x14ac:dyDescent="0.3">
      <c r="A210" s="300"/>
      <c r="B210" s="300"/>
      <c r="C210" s="79" t="s">
        <v>152</v>
      </c>
      <c r="D210" s="114" t="s">
        <v>109</v>
      </c>
      <c r="E210" s="58"/>
      <c r="F210" s="39">
        <v>0.19850000000000001</v>
      </c>
      <c r="G210" s="39">
        <v>0.19850000000000001</v>
      </c>
      <c r="H210" s="35">
        <f t="shared" si="61"/>
        <v>0</v>
      </c>
      <c r="I210" s="47">
        <f t="shared" si="62"/>
        <v>0</v>
      </c>
      <c r="L210" s="65">
        <f>IFERROR(H210-'Nátok z PRDS'!H210,"N/A")</f>
        <v>0</v>
      </c>
      <c r="M210" s="65">
        <f>IFERROR(H210-'Distribúcia KS v PMDS'!H210,0)</f>
        <v>0</v>
      </c>
    </row>
    <row r="211" spans="1:13" x14ac:dyDescent="0.3">
      <c r="A211" s="300"/>
      <c r="B211" s="300"/>
      <c r="C211" s="79" t="s">
        <v>153</v>
      </c>
      <c r="D211" s="114" t="s">
        <v>109</v>
      </c>
      <c r="E211" s="58"/>
      <c r="F211" s="39">
        <v>0.16880000000000001</v>
      </c>
      <c r="G211" s="39">
        <v>0.16880000000000001</v>
      </c>
      <c r="H211" s="35">
        <f t="shared" si="61"/>
        <v>0</v>
      </c>
      <c r="I211" s="47">
        <f t="shared" si="62"/>
        <v>0</v>
      </c>
      <c r="L211" s="65">
        <f>IFERROR(H211-'Nátok z PRDS'!H211,"N/A")</f>
        <v>0</v>
      </c>
      <c r="M211" s="65">
        <f>IFERROR(H211-'Distribúcia KS v PMDS'!H211,0)</f>
        <v>0</v>
      </c>
    </row>
    <row r="212" spans="1:13" x14ac:dyDescent="0.3">
      <c r="A212" s="300"/>
      <c r="B212" s="300"/>
      <c r="C212" s="77" t="s">
        <v>74</v>
      </c>
      <c r="D212" s="306" t="s">
        <v>75</v>
      </c>
      <c r="E212" s="296">
        <v>0</v>
      </c>
      <c r="F212" s="39">
        <v>9.7080000000000002</v>
      </c>
      <c r="G212" s="39">
        <v>8.02</v>
      </c>
      <c r="H212" s="35" t="s">
        <v>76</v>
      </c>
      <c r="I212" s="35" t="s">
        <v>76</v>
      </c>
      <c r="L212" s="65" t="str">
        <f>IFERROR(H212-'Nátok z PRDS'!H212,"N/A")</f>
        <v>N/A</v>
      </c>
      <c r="M212" s="65">
        <f>IFERROR(H212-'Distribúcia KS v PMDS'!H212,0)</f>
        <v>0</v>
      </c>
    </row>
    <row r="213" spans="1:13" x14ac:dyDescent="0.3">
      <c r="A213" s="300"/>
      <c r="B213" s="300"/>
      <c r="C213" s="77" t="s">
        <v>77</v>
      </c>
      <c r="D213" s="307"/>
      <c r="E213" s="296"/>
      <c r="F213" s="39">
        <v>1.073</v>
      </c>
      <c r="G213" s="39">
        <v>1.575</v>
      </c>
      <c r="H213" s="35" t="s">
        <v>76</v>
      </c>
      <c r="I213" s="35" t="s">
        <v>76</v>
      </c>
      <c r="L213" s="65" t="str">
        <f>IFERROR(H213-'Nátok z PRDS'!H213,"N/A")</f>
        <v>N/A</v>
      </c>
      <c r="M213" s="65">
        <f>IFERROR(H213-'Distribúcia KS v PMDS'!H213,0)</f>
        <v>0</v>
      </c>
    </row>
    <row r="214" spans="1:13" x14ac:dyDescent="0.3">
      <c r="A214" s="300"/>
      <c r="B214" s="300"/>
      <c r="C214" s="77" t="s">
        <v>78</v>
      </c>
      <c r="D214" s="308"/>
      <c r="E214" s="296"/>
      <c r="F214" s="35">
        <f>+F212+F213</f>
        <v>10.781000000000001</v>
      </c>
      <c r="G214" s="35">
        <f t="shared" ref="G214" si="63">+G212+G213</f>
        <v>9.5949999999999989</v>
      </c>
      <c r="H214" s="35">
        <f>+G214-F214</f>
        <v>-1.1860000000000017</v>
      </c>
      <c r="I214" s="47">
        <f>+ROUND(IF(H214&gt;0,H214*E212,0),4)</f>
        <v>0</v>
      </c>
      <c r="L214" s="65">
        <f>IFERROR(H214-'Nátok z PRDS'!H214,"N/A")</f>
        <v>-1.1860000000000017</v>
      </c>
      <c r="M214" s="65">
        <f>IFERROR(H214-'Distribúcia KS v PMDS'!H214,0)</f>
        <v>-1.1860000000000017</v>
      </c>
    </row>
    <row r="215" spans="1:13" x14ac:dyDescent="0.3">
      <c r="A215" s="300"/>
      <c r="B215" s="300"/>
      <c r="C215" s="77" t="s">
        <v>138</v>
      </c>
      <c r="D215" s="306" t="s">
        <v>75</v>
      </c>
      <c r="E215" s="296">
        <v>0</v>
      </c>
      <c r="F215" s="39">
        <v>9.7080000000000002</v>
      </c>
      <c r="G215" s="39">
        <v>7.6189999999999998</v>
      </c>
      <c r="H215" s="35" t="s">
        <v>76</v>
      </c>
      <c r="I215" s="35" t="s">
        <v>76</v>
      </c>
      <c r="L215" s="65" t="str">
        <f>IFERROR(H215-'Nátok z PRDS'!H215,"N/A")</f>
        <v>N/A</v>
      </c>
      <c r="M215" s="65">
        <f>IFERROR(H215-'Distribúcia KS v PMDS'!H215,0)</f>
        <v>0</v>
      </c>
    </row>
    <row r="216" spans="1:13" x14ac:dyDescent="0.3">
      <c r="A216" s="300"/>
      <c r="B216" s="300"/>
      <c r="C216" s="77" t="s">
        <v>77</v>
      </c>
      <c r="D216" s="307"/>
      <c r="E216" s="296"/>
      <c r="F216" s="39">
        <v>1.073</v>
      </c>
      <c r="G216" s="39">
        <v>1.575</v>
      </c>
      <c r="H216" s="35" t="s">
        <v>76</v>
      </c>
      <c r="I216" s="35" t="s">
        <v>76</v>
      </c>
      <c r="L216" s="65" t="str">
        <f>IFERROR(H216-'Nátok z PRDS'!H216,"N/A")</f>
        <v>N/A</v>
      </c>
      <c r="M216" s="65">
        <f>IFERROR(H216-'Distribúcia KS v PMDS'!H216,0)</f>
        <v>0</v>
      </c>
    </row>
    <row r="217" spans="1:13" x14ac:dyDescent="0.3">
      <c r="A217" s="300"/>
      <c r="B217" s="300"/>
      <c r="C217" s="79" t="s">
        <v>139</v>
      </c>
      <c r="D217" s="308"/>
      <c r="E217" s="296"/>
      <c r="F217" s="35">
        <f>+F215+F216</f>
        <v>10.781000000000001</v>
      </c>
      <c r="G217" s="35">
        <f t="shared" ref="G217" si="64">+G215+G216</f>
        <v>9.1939999999999991</v>
      </c>
      <c r="H217" s="35">
        <f>+G217-F217</f>
        <v>-1.5870000000000015</v>
      </c>
      <c r="I217" s="47">
        <f>+ROUND(IF(H217&gt;0,H217*E215,0),4)</f>
        <v>0</v>
      </c>
      <c r="L217" s="65">
        <f>IFERROR(H217-'Nátok z PRDS'!H217,"N/A")</f>
        <v>-1.5870000000000015</v>
      </c>
      <c r="M217" s="65">
        <f>IFERROR(H217-'Distribúcia KS v PMDS'!H217,0)</f>
        <v>-1.5870000000000015</v>
      </c>
    </row>
    <row r="218" spans="1:13" x14ac:dyDescent="0.3">
      <c r="A218" s="300"/>
      <c r="B218" s="300"/>
      <c r="C218" s="77" t="s">
        <v>140</v>
      </c>
      <c r="D218" s="306" t="s">
        <v>75</v>
      </c>
      <c r="E218" s="296">
        <v>0</v>
      </c>
      <c r="F218" s="39">
        <v>9.7080000000000002</v>
      </c>
      <c r="G218" s="39">
        <v>7.218</v>
      </c>
      <c r="H218" s="35" t="s">
        <v>76</v>
      </c>
      <c r="I218" s="35" t="s">
        <v>76</v>
      </c>
      <c r="L218" s="65" t="str">
        <f>IFERROR(H218-'Nátok z PRDS'!H218,"N/A")</f>
        <v>N/A</v>
      </c>
      <c r="M218" s="65">
        <f>IFERROR(H218-'Distribúcia KS v PMDS'!H218,0)</f>
        <v>0</v>
      </c>
    </row>
    <row r="219" spans="1:13" x14ac:dyDescent="0.3">
      <c r="A219" s="300"/>
      <c r="B219" s="300"/>
      <c r="C219" s="77" t="s">
        <v>77</v>
      </c>
      <c r="D219" s="307"/>
      <c r="E219" s="296"/>
      <c r="F219" s="39">
        <v>1.073</v>
      </c>
      <c r="G219" s="39">
        <v>1.575</v>
      </c>
      <c r="H219" s="35" t="s">
        <v>76</v>
      </c>
      <c r="I219" s="35" t="s">
        <v>76</v>
      </c>
      <c r="L219" s="65" t="str">
        <f>IFERROR(H219-'Nátok z PRDS'!H219,"N/A")</f>
        <v>N/A</v>
      </c>
      <c r="M219" s="65">
        <f>IFERROR(H219-'Distribúcia KS v PMDS'!H219,0)</f>
        <v>0</v>
      </c>
    </row>
    <row r="220" spans="1:13" x14ac:dyDescent="0.3">
      <c r="A220" s="300"/>
      <c r="B220" s="300"/>
      <c r="C220" s="79" t="s">
        <v>141</v>
      </c>
      <c r="D220" s="308"/>
      <c r="E220" s="296"/>
      <c r="F220" s="35">
        <f>+F218+F219</f>
        <v>10.781000000000001</v>
      </c>
      <c r="G220" s="35">
        <f t="shared" ref="G220" si="65">+G218+G219</f>
        <v>8.7929999999999993</v>
      </c>
      <c r="H220" s="35">
        <f>+G220-F220</f>
        <v>-1.9880000000000013</v>
      </c>
      <c r="I220" s="47">
        <f>+ROUND(IF(H220&gt;0,H220*E218,0),4)</f>
        <v>0</v>
      </c>
      <c r="L220" s="65">
        <f>IFERROR(H220-'Nátok z PRDS'!H220,"N/A")</f>
        <v>-1.9880000000000013</v>
      </c>
      <c r="M220" s="65">
        <f>IFERROR(H220-'Distribúcia KS v PMDS'!H220,0)</f>
        <v>-1.9880000000000013</v>
      </c>
    </row>
    <row r="221" spans="1:13" x14ac:dyDescent="0.3">
      <c r="A221" s="314" t="s">
        <v>146</v>
      </c>
      <c r="B221" s="315" t="s">
        <v>103</v>
      </c>
      <c r="C221" s="103" t="s">
        <v>73</v>
      </c>
      <c r="D221" s="110" t="s">
        <v>76</v>
      </c>
      <c r="E221" s="49" t="s">
        <v>76</v>
      </c>
      <c r="F221" s="49" t="s">
        <v>76</v>
      </c>
      <c r="G221" s="49" t="s">
        <v>76</v>
      </c>
      <c r="H221" s="49" t="s">
        <v>76</v>
      </c>
      <c r="I221" s="90">
        <f>+SUM(I203:I211)</f>
        <v>0</v>
      </c>
      <c r="K221" t="s">
        <v>188</v>
      </c>
      <c r="L221" s="68">
        <f>SUM(L5:L220)</f>
        <v>43.034199999999991</v>
      </c>
    </row>
    <row r="222" spans="1:13" ht="15" thickBot="1" x14ac:dyDescent="0.35">
      <c r="A222" s="314"/>
      <c r="B222" s="315"/>
      <c r="C222" s="104" t="s">
        <v>78</v>
      </c>
      <c r="D222" s="85" t="s">
        <v>75</v>
      </c>
      <c r="E222" s="89">
        <f>+E212+E215+E218</f>
        <v>0</v>
      </c>
      <c r="F222" s="89" t="s">
        <v>76</v>
      </c>
      <c r="G222" s="89" t="s">
        <v>76</v>
      </c>
      <c r="H222" s="89" t="s">
        <v>76</v>
      </c>
      <c r="I222" s="91">
        <f>+I214+I217+I220</f>
        <v>0</v>
      </c>
    </row>
    <row r="223" spans="1:13" ht="15" thickBot="1" x14ac:dyDescent="0.35">
      <c r="A223" s="74"/>
      <c r="B223" s="99"/>
      <c r="C223" s="81" t="s">
        <v>155</v>
      </c>
      <c r="D223" s="86"/>
      <c r="E223" s="52" t="s">
        <v>76</v>
      </c>
      <c r="F223" s="52" t="s">
        <v>76</v>
      </c>
      <c r="G223" s="52" t="s">
        <v>76</v>
      </c>
      <c r="H223" s="52" t="s">
        <v>76</v>
      </c>
      <c r="I223" s="53">
        <f>ROUND(SUM(I77:I78,I169:I170,I201:I202,I221:I222),4)</f>
        <v>0</v>
      </c>
    </row>
    <row r="224" spans="1:13" ht="15" thickBot="1" x14ac:dyDescent="0.35">
      <c r="A224" s="74"/>
      <c r="B224" s="99"/>
      <c r="C224" s="82" t="s">
        <v>156</v>
      </c>
      <c r="D224" s="87"/>
      <c r="E224" s="50" t="s">
        <v>76</v>
      </c>
      <c r="F224" s="50" t="s">
        <v>76</v>
      </c>
      <c r="G224" s="50" t="s">
        <v>76</v>
      </c>
      <c r="H224" s="50" t="s">
        <v>76</v>
      </c>
      <c r="I224" s="51">
        <f>ROUND(I225-I223,4)</f>
        <v>0</v>
      </c>
    </row>
    <row r="225" spans="1:9" ht="16.2" thickBot="1" x14ac:dyDescent="0.35">
      <c r="A225" s="74"/>
      <c r="B225" s="99"/>
      <c r="C225" s="83" t="s">
        <v>159</v>
      </c>
      <c r="D225" s="88"/>
      <c r="E225" s="56" t="s">
        <v>76</v>
      </c>
      <c r="F225" s="56" t="s">
        <v>76</v>
      </c>
      <c r="G225" s="56" t="s">
        <v>76</v>
      </c>
      <c r="H225" s="56" t="s">
        <v>76</v>
      </c>
      <c r="I225" s="57">
        <f>+ROUND(I223*1.2,4)</f>
        <v>0</v>
      </c>
    </row>
  </sheetData>
  <sheetProtection selectLockedCells="1"/>
  <mergeCells count="169">
    <mergeCell ref="A1:I1"/>
    <mergeCell ref="A2:A4"/>
    <mergeCell ref="B2:B4"/>
    <mergeCell ref="C2:C4"/>
    <mergeCell ref="D2:D4"/>
    <mergeCell ref="A5:A8"/>
    <mergeCell ref="B5:B8"/>
    <mergeCell ref="D6:D8"/>
    <mergeCell ref="E6:E8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A29:A35"/>
    <mergeCell ref="B29:B35"/>
    <mergeCell ref="D30:D32"/>
    <mergeCell ref="E30:E32"/>
    <mergeCell ref="D33:D35"/>
    <mergeCell ref="E33:E35"/>
    <mergeCell ref="A21:A28"/>
    <mergeCell ref="B21:B28"/>
    <mergeCell ref="D23:D25"/>
    <mergeCell ref="E23:E25"/>
    <mergeCell ref="D26:D28"/>
    <mergeCell ref="E26:E28"/>
    <mergeCell ref="A43:A49"/>
    <mergeCell ref="B43:B49"/>
    <mergeCell ref="D44:D46"/>
    <mergeCell ref="E44:E46"/>
    <mergeCell ref="D47:D49"/>
    <mergeCell ref="E47:E49"/>
    <mergeCell ref="A36:A42"/>
    <mergeCell ref="B36:B42"/>
    <mergeCell ref="D37:D39"/>
    <mergeCell ref="E37:E39"/>
    <mergeCell ref="D40:D42"/>
    <mergeCell ref="E40:E42"/>
    <mergeCell ref="A57:A63"/>
    <mergeCell ref="B57:B63"/>
    <mergeCell ref="D58:D60"/>
    <mergeCell ref="E58:E60"/>
    <mergeCell ref="D61:D63"/>
    <mergeCell ref="E61:E63"/>
    <mergeCell ref="A50:A56"/>
    <mergeCell ref="B50:B56"/>
    <mergeCell ref="D51:D53"/>
    <mergeCell ref="E51:E53"/>
    <mergeCell ref="D54:D56"/>
    <mergeCell ref="E54:E56"/>
    <mergeCell ref="A64:A76"/>
    <mergeCell ref="B64:B76"/>
    <mergeCell ref="D65:D67"/>
    <mergeCell ref="E65:E67"/>
    <mergeCell ref="D68:D70"/>
    <mergeCell ref="E68:E70"/>
    <mergeCell ref="D71:D73"/>
    <mergeCell ref="E71:E73"/>
    <mergeCell ref="D74:D76"/>
    <mergeCell ref="E74:E76"/>
    <mergeCell ref="A84:A88"/>
    <mergeCell ref="B84:B88"/>
    <mergeCell ref="D86:D88"/>
    <mergeCell ref="E86:E88"/>
    <mergeCell ref="A89:A93"/>
    <mergeCell ref="B89:B93"/>
    <mergeCell ref="D91:D93"/>
    <mergeCell ref="E91:E93"/>
    <mergeCell ref="A77:A78"/>
    <mergeCell ref="B77:B78"/>
    <mergeCell ref="A79:A83"/>
    <mergeCell ref="B79:B83"/>
    <mergeCell ref="D81:D83"/>
    <mergeCell ref="E81:E83"/>
    <mergeCell ref="A102:A109"/>
    <mergeCell ref="B102:B109"/>
    <mergeCell ref="D104:D106"/>
    <mergeCell ref="E104:E106"/>
    <mergeCell ref="D107:D109"/>
    <mergeCell ref="E107:E109"/>
    <mergeCell ref="A94:A101"/>
    <mergeCell ref="B94:B101"/>
    <mergeCell ref="D96:D98"/>
    <mergeCell ref="E96:E98"/>
    <mergeCell ref="D99:D101"/>
    <mergeCell ref="E99:E101"/>
    <mergeCell ref="A118:A125"/>
    <mergeCell ref="B118:B125"/>
    <mergeCell ref="D120:D122"/>
    <mergeCell ref="E120:E122"/>
    <mergeCell ref="D123:D125"/>
    <mergeCell ref="E123:E125"/>
    <mergeCell ref="A110:A117"/>
    <mergeCell ref="B110:B117"/>
    <mergeCell ref="D112:D114"/>
    <mergeCell ref="E112:E114"/>
    <mergeCell ref="D115:D117"/>
    <mergeCell ref="E115:E117"/>
    <mergeCell ref="A134:A135"/>
    <mergeCell ref="B134:B135"/>
    <mergeCell ref="A136:A140"/>
    <mergeCell ref="B136:B140"/>
    <mergeCell ref="D138:D140"/>
    <mergeCell ref="E138:E140"/>
    <mergeCell ref="A126:A133"/>
    <mergeCell ref="B126:B133"/>
    <mergeCell ref="D128:D130"/>
    <mergeCell ref="E128:E130"/>
    <mergeCell ref="D131:D133"/>
    <mergeCell ref="E131:E133"/>
    <mergeCell ref="A141:A146"/>
    <mergeCell ref="B141:B146"/>
    <mergeCell ref="D144:D146"/>
    <mergeCell ref="E144:E146"/>
    <mergeCell ref="A147:A154"/>
    <mergeCell ref="B147:B154"/>
    <mergeCell ref="D149:D151"/>
    <mergeCell ref="E149:E151"/>
    <mergeCell ref="D152:D154"/>
    <mergeCell ref="E152:E154"/>
    <mergeCell ref="A155:A168"/>
    <mergeCell ref="B155:B168"/>
    <mergeCell ref="D157:D159"/>
    <mergeCell ref="E157:E159"/>
    <mergeCell ref="D160:D162"/>
    <mergeCell ref="E160:E162"/>
    <mergeCell ref="D163:D165"/>
    <mergeCell ref="E163:E165"/>
    <mergeCell ref="D166:D168"/>
    <mergeCell ref="E166:E168"/>
    <mergeCell ref="A169:A170"/>
    <mergeCell ref="B169:B17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A198:A200"/>
    <mergeCell ref="B198:B200"/>
    <mergeCell ref="D198:D200"/>
    <mergeCell ref="E198:E200"/>
    <mergeCell ref="A201:A202"/>
    <mergeCell ref="B201:B202"/>
    <mergeCell ref="A190:A193"/>
    <mergeCell ref="B190:B193"/>
    <mergeCell ref="D191:D193"/>
    <mergeCell ref="E191:E193"/>
    <mergeCell ref="A194:A197"/>
    <mergeCell ref="B194:B197"/>
    <mergeCell ref="D195:D197"/>
    <mergeCell ref="E195:E197"/>
    <mergeCell ref="A221:A222"/>
    <mergeCell ref="B221:B222"/>
    <mergeCell ref="A203:A220"/>
    <mergeCell ref="B203:B220"/>
    <mergeCell ref="D212:D214"/>
    <mergeCell ref="E212:E214"/>
    <mergeCell ref="D215:D217"/>
    <mergeCell ref="E215:E217"/>
    <mergeCell ref="D218:D220"/>
    <mergeCell ref="E218:E220"/>
  </mergeCells>
  <pageMargins left="0.7" right="0.7" top="0.75" bottom="0.75" header="0.3" footer="0.3"/>
  <pageSetup paperSize="9" orientation="portrait" r:id="rId1"/>
  <headerFooter>
    <oddHeader>&amp;L&amp;"Calibri"&amp;12&amp;K000000         INTERNÉ&amp;1#_x000D_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5"/>
  <sheetViews>
    <sheetView zoomScale="85" zoomScaleNormal="85" workbookViewId="0">
      <selection activeCell="E6" sqref="E6:E8"/>
    </sheetView>
  </sheetViews>
  <sheetFormatPr defaultRowHeight="14.4" x14ac:dyDescent="0.3"/>
  <cols>
    <col min="1" max="1" width="38.33203125" customWidth="1"/>
    <col min="2" max="2" width="10.44140625" customWidth="1"/>
    <col min="3" max="3" width="53.88671875" customWidth="1"/>
    <col min="4" max="4" width="5.6640625" style="2" customWidth="1"/>
    <col min="5" max="5" width="28.5546875" customWidth="1"/>
    <col min="6" max="9" width="21.44140625" customWidth="1"/>
    <col min="11" max="11" width="0" hidden="1" customWidth="1"/>
    <col min="12" max="12" width="45.109375" hidden="1" customWidth="1"/>
  </cols>
  <sheetData>
    <row r="1" spans="1:12" ht="19.8" x14ac:dyDescent="0.3">
      <c r="A1" s="327" t="s">
        <v>288</v>
      </c>
      <c r="B1" s="327"/>
      <c r="C1" s="327"/>
      <c r="D1" s="327"/>
      <c r="E1" s="327"/>
      <c r="F1" s="327"/>
      <c r="G1" s="327"/>
      <c r="H1" s="327"/>
      <c r="I1" s="328"/>
      <c r="K1" s="69" t="s">
        <v>182</v>
      </c>
      <c r="L1" s="69" t="s">
        <v>183</v>
      </c>
    </row>
    <row r="2" spans="1:12" ht="36" customHeight="1" x14ac:dyDescent="0.3">
      <c r="A2" s="318" t="s">
        <v>291</v>
      </c>
      <c r="B2" s="300" t="s">
        <v>59</v>
      </c>
      <c r="C2" s="300" t="s">
        <v>60</v>
      </c>
      <c r="D2" s="333" t="s">
        <v>294</v>
      </c>
      <c r="E2" s="32" t="s">
        <v>62</v>
      </c>
      <c r="F2" s="112" t="s">
        <v>184</v>
      </c>
      <c r="G2" s="112" t="s">
        <v>185</v>
      </c>
      <c r="H2" s="33" t="s">
        <v>186</v>
      </c>
      <c r="I2" s="45" t="s">
        <v>189</v>
      </c>
    </row>
    <row r="3" spans="1:12" ht="15" customHeight="1" x14ac:dyDescent="0.3">
      <c r="A3" s="318"/>
      <c r="B3" s="300"/>
      <c r="C3" s="300"/>
      <c r="D3" s="333"/>
      <c r="E3" s="37" t="s">
        <v>63</v>
      </c>
      <c r="F3" s="34" t="s">
        <v>64</v>
      </c>
      <c r="G3" s="34" t="s">
        <v>64</v>
      </c>
      <c r="H3" s="34" t="s">
        <v>64</v>
      </c>
      <c r="I3" s="46" t="s">
        <v>65</v>
      </c>
    </row>
    <row r="4" spans="1:12" ht="15" customHeight="1" x14ac:dyDescent="0.3">
      <c r="A4" s="318"/>
      <c r="B4" s="300"/>
      <c r="C4" s="300"/>
      <c r="D4" s="333"/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</row>
    <row r="5" spans="1:12" ht="15" customHeight="1" x14ac:dyDescent="0.3">
      <c r="A5" s="299" t="s">
        <v>71</v>
      </c>
      <c r="B5" s="300" t="s">
        <v>72</v>
      </c>
      <c r="C5" s="77" t="s">
        <v>73</v>
      </c>
      <c r="D5" s="114" t="s">
        <v>118</v>
      </c>
      <c r="E5" s="61"/>
      <c r="F5" s="39">
        <v>1.1200000000000001</v>
      </c>
      <c r="G5" s="39">
        <v>1.1499999999999999</v>
      </c>
      <c r="H5" s="35">
        <f>+G5-F5</f>
        <v>2.9999999999999805E-2</v>
      </c>
      <c r="I5" s="47">
        <f>+ROUND(IF(H5&gt;0,H5*E5,0),4)</f>
        <v>0</v>
      </c>
      <c r="L5" s="65">
        <f>IFERROR(H5-'Nátok z PRDS'!H5,"N/A")</f>
        <v>2.9999999999999805E-2</v>
      </c>
    </row>
    <row r="6" spans="1:12" ht="15" customHeight="1" x14ac:dyDescent="0.3">
      <c r="A6" s="299"/>
      <c r="B6" s="300"/>
      <c r="C6" s="77" t="s">
        <v>74</v>
      </c>
      <c r="D6" s="300" t="s">
        <v>75</v>
      </c>
      <c r="E6" s="334"/>
      <c r="F6" s="39">
        <v>51.05</v>
      </c>
      <c r="G6" s="39">
        <v>42.37</v>
      </c>
      <c r="H6" s="35" t="s">
        <v>76</v>
      </c>
      <c r="I6" s="35" t="s">
        <v>76</v>
      </c>
      <c r="L6" s="65" t="str">
        <f>IFERROR(H6-'Nátok z PRDS'!H6,"N/A")</f>
        <v>N/A</v>
      </c>
    </row>
    <row r="7" spans="1:12" ht="15" customHeight="1" x14ac:dyDescent="0.3">
      <c r="A7" s="299"/>
      <c r="B7" s="300"/>
      <c r="C7" s="77" t="s">
        <v>77</v>
      </c>
      <c r="D7" s="300"/>
      <c r="E7" s="335"/>
      <c r="F7" s="39">
        <v>10.914999999999999</v>
      </c>
      <c r="G7" s="39">
        <v>19.911000000000001</v>
      </c>
      <c r="H7" s="35" t="s">
        <v>76</v>
      </c>
      <c r="I7" s="35" t="s">
        <v>76</v>
      </c>
      <c r="L7" s="65" t="str">
        <f>IFERROR(H7-'Nátok z PRDS'!H7,"N/A")</f>
        <v>N/A</v>
      </c>
    </row>
    <row r="8" spans="1:12" ht="15.75" customHeight="1" thickBot="1" x14ac:dyDescent="0.35">
      <c r="A8" s="299"/>
      <c r="B8" s="300"/>
      <c r="C8" s="77" t="s">
        <v>78</v>
      </c>
      <c r="D8" s="300"/>
      <c r="E8" s="336"/>
      <c r="F8" s="35">
        <f>+F6+F7</f>
        <v>61.964999999999996</v>
      </c>
      <c r="G8" s="35">
        <f t="shared" ref="G8" si="0">+G6+G7</f>
        <v>62.280999999999999</v>
      </c>
      <c r="H8" s="35">
        <f>+G8-F8</f>
        <v>0.3160000000000025</v>
      </c>
      <c r="I8" s="47">
        <f>+ROUND(IF(H8&gt;0,H8*E6,0),4)</f>
        <v>0</v>
      </c>
      <c r="L8" s="65">
        <f>IFERROR(H8-'Nátok z PRDS'!H8,"N/A")</f>
        <v>0.3160000000000025</v>
      </c>
    </row>
    <row r="9" spans="1:12" ht="15" customHeight="1" x14ac:dyDescent="0.3">
      <c r="A9" s="299" t="s">
        <v>71</v>
      </c>
      <c r="B9" s="300" t="s">
        <v>79</v>
      </c>
      <c r="C9" s="77" t="s">
        <v>73</v>
      </c>
      <c r="D9" s="114" t="s">
        <v>118</v>
      </c>
      <c r="E9" s="61"/>
      <c r="F9" s="39">
        <v>6.31</v>
      </c>
      <c r="G9" s="39">
        <v>6.49</v>
      </c>
      <c r="H9" s="35">
        <f>+G9-F9</f>
        <v>0.1800000000000006</v>
      </c>
      <c r="I9" s="47">
        <f t="shared" ref="I9" si="1">+ROUND(IF(H9&gt;0,H9*E9,0),4)</f>
        <v>0</v>
      </c>
      <c r="L9" s="65">
        <f>IFERROR(H9-'Nátok z PRDS'!H9,"N/A")</f>
        <v>0.1800000000000006</v>
      </c>
    </row>
    <row r="10" spans="1:12" ht="15" customHeight="1" x14ac:dyDescent="0.3">
      <c r="A10" s="299"/>
      <c r="B10" s="300"/>
      <c r="C10" s="78" t="s">
        <v>80</v>
      </c>
      <c r="D10" s="114" t="s">
        <v>118</v>
      </c>
      <c r="E10" s="60"/>
      <c r="F10" s="39"/>
      <c r="G10" s="39"/>
      <c r="H10" s="35">
        <f>+G10-F10</f>
        <v>0</v>
      </c>
      <c r="I10" s="47">
        <f>+ROUND(IF(H10&gt;0,H10*E10,0),4)</f>
        <v>0</v>
      </c>
      <c r="L10" s="65">
        <f>IFERROR(H10-'Nátok z PRDS'!H10,"N/A")</f>
        <v>0</v>
      </c>
    </row>
    <row r="11" spans="1:12" ht="15" customHeight="1" x14ac:dyDescent="0.3">
      <c r="A11" s="299"/>
      <c r="B11" s="300"/>
      <c r="C11" s="77" t="s">
        <v>74</v>
      </c>
      <c r="D11" s="300" t="s">
        <v>75</v>
      </c>
      <c r="E11" s="329"/>
      <c r="F11" s="39">
        <v>13.24</v>
      </c>
      <c r="G11" s="39">
        <v>10.74</v>
      </c>
      <c r="H11" s="35" t="s">
        <v>76</v>
      </c>
      <c r="I11" s="35" t="s">
        <v>76</v>
      </c>
      <c r="L11" s="65" t="str">
        <f>IFERROR(H11-'Nátok z PRDS'!H11,"N/A")</f>
        <v>N/A</v>
      </c>
    </row>
    <row r="12" spans="1:12" ht="15" customHeight="1" x14ac:dyDescent="0.3">
      <c r="A12" s="299"/>
      <c r="B12" s="300"/>
      <c r="C12" s="77" t="s">
        <v>77</v>
      </c>
      <c r="D12" s="300"/>
      <c r="E12" s="329"/>
      <c r="F12" s="39">
        <v>10.914999999999999</v>
      </c>
      <c r="G12" s="39">
        <v>19.911000000000001</v>
      </c>
      <c r="H12" s="35" t="s">
        <v>76</v>
      </c>
      <c r="I12" s="35" t="s">
        <v>76</v>
      </c>
      <c r="L12" s="65" t="str">
        <f>IFERROR(H12-'Nátok z PRDS'!H12,"N/A")</f>
        <v>N/A</v>
      </c>
    </row>
    <row r="13" spans="1:12" ht="15" customHeight="1" x14ac:dyDescent="0.3">
      <c r="A13" s="299"/>
      <c r="B13" s="300"/>
      <c r="C13" s="77" t="s">
        <v>78</v>
      </c>
      <c r="D13" s="300"/>
      <c r="E13" s="329"/>
      <c r="F13" s="35">
        <f>+F11+F12</f>
        <v>24.155000000000001</v>
      </c>
      <c r="G13" s="35">
        <f t="shared" ref="G13" si="2">+G11+G12</f>
        <v>30.651000000000003</v>
      </c>
      <c r="H13" s="35">
        <f>+G13-F13</f>
        <v>6.4960000000000022</v>
      </c>
      <c r="I13" s="47">
        <f>+ROUND(IF(H13&gt;0,H13*E11,0),4)</f>
        <v>0</v>
      </c>
      <c r="L13" s="65">
        <f>IFERROR(H13-'Nátok z PRDS'!H13,"N/A")</f>
        <v>6.4960000000000022</v>
      </c>
    </row>
    <row r="14" spans="1:12" ht="15" customHeight="1" x14ac:dyDescent="0.3">
      <c r="A14" s="299" t="s">
        <v>71</v>
      </c>
      <c r="B14" s="300" t="s">
        <v>81</v>
      </c>
      <c r="C14" s="77" t="s">
        <v>73</v>
      </c>
      <c r="D14" s="114" t="s">
        <v>118</v>
      </c>
      <c r="E14" s="61"/>
      <c r="F14" s="39">
        <v>10.87</v>
      </c>
      <c r="G14" s="39">
        <v>11.19</v>
      </c>
      <c r="H14" s="35">
        <f>+G14-F14</f>
        <v>0.32000000000000028</v>
      </c>
      <c r="I14" s="47">
        <f t="shared" ref="I14" si="3">+ROUND(IF(H14&gt;0,H14*E14,0),4)</f>
        <v>0</v>
      </c>
      <c r="L14" s="65">
        <f>IFERROR(H14-'Nátok z PRDS'!H14,"N/A")</f>
        <v>0.32000000000000028</v>
      </c>
    </row>
    <row r="15" spans="1:12" ht="15" customHeight="1" x14ac:dyDescent="0.3">
      <c r="A15" s="299"/>
      <c r="B15" s="300"/>
      <c r="C15" s="77" t="s">
        <v>82</v>
      </c>
      <c r="D15" s="300" t="s">
        <v>75</v>
      </c>
      <c r="E15" s="329"/>
      <c r="F15" s="39">
        <v>4.32</v>
      </c>
      <c r="G15" s="39">
        <v>3.5</v>
      </c>
      <c r="H15" s="35" t="s">
        <v>76</v>
      </c>
      <c r="I15" s="35" t="s">
        <v>76</v>
      </c>
      <c r="L15" s="65" t="str">
        <f>IFERROR(H15-'Nátok z PRDS'!H15,"N/A")</f>
        <v>N/A</v>
      </c>
    </row>
    <row r="16" spans="1:12" ht="15" customHeight="1" x14ac:dyDescent="0.3">
      <c r="A16" s="299"/>
      <c r="B16" s="300"/>
      <c r="C16" s="77" t="s">
        <v>77</v>
      </c>
      <c r="D16" s="300"/>
      <c r="E16" s="329"/>
      <c r="F16" s="39">
        <v>10.914999999999999</v>
      </c>
      <c r="G16" s="39">
        <v>19.911000000000001</v>
      </c>
      <c r="H16" s="35" t="s">
        <v>76</v>
      </c>
      <c r="I16" s="35" t="s">
        <v>76</v>
      </c>
      <c r="L16" s="65" t="str">
        <f>IFERROR(H16-'Nátok z PRDS'!H16,"N/A")</f>
        <v>N/A</v>
      </c>
    </row>
    <row r="17" spans="1:12" ht="15" customHeight="1" x14ac:dyDescent="0.3">
      <c r="A17" s="299"/>
      <c r="B17" s="300"/>
      <c r="C17" s="77" t="s">
        <v>83</v>
      </c>
      <c r="D17" s="300"/>
      <c r="E17" s="329"/>
      <c r="F17" s="35">
        <f>+F15+F16</f>
        <v>15.234999999999999</v>
      </c>
      <c r="G17" s="35">
        <f t="shared" ref="G17" si="4">+G15+G16</f>
        <v>23.411000000000001</v>
      </c>
      <c r="H17" s="35">
        <f>+G17-F17</f>
        <v>8.1760000000000019</v>
      </c>
      <c r="I17" s="47">
        <f>+ROUND(IF(H17&gt;0,H17*E15,0),4)</f>
        <v>0</v>
      </c>
      <c r="L17" s="65">
        <f>IFERROR(H17-'Nátok z PRDS'!H17,"N/A")</f>
        <v>8.1760000000000019</v>
      </c>
    </row>
    <row r="18" spans="1:12" ht="15" customHeight="1" x14ac:dyDescent="0.3">
      <c r="A18" s="299"/>
      <c r="B18" s="300"/>
      <c r="C18" s="77" t="s">
        <v>84</v>
      </c>
      <c r="D18" s="300" t="s">
        <v>75</v>
      </c>
      <c r="E18" s="329"/>
      <c r="F18" s="39">
        <v>0.65</v>
      </c>
      <c r="G18" s="39">
        <v>0.53</v>
      </c>
      <c r="H18" s="35" t="s">
        <v>76</v>
      </c>
      <c r="I18" s="35" t="s">
        <v>76</v>
      </c>
      <c r="L18" s="65" t="str">
        <f>IFERROR(H18-'Nátok z PRDS'!H18,"N/A")</f>
        <v>N/A</v>
      </c>
    </row>
    <row r="19" spans="1:12" ht="15" customHeight="1" x14ac:dyDescent="0.3">
      <c r="A19" s="299"/>
      <c r="B19" s="300"/>
      <c r="C19" s="77" t="s">
        <v>77</v>
      </c>
      <c r="D19" s="300"/>
      <c r="E19" s="329"/>
      <c r="F19" s="39">
        <v>10.914999999999999</v>
      </c>
      <c r="G19" s="39">
        <v>19.911000000000001</v>
      </c>
      <c r="H19" s="35" t="s">
        <v>76</v>
      </c>
      <c r="I19" s="35" t="s">
        <v>76</v>
      </c>
      <c r="L19" s="65" t="str">
        <f>IFERROR(H19-'Nátok z PRDS'!H19,"N/A")</f>
        <v>N/A</v>
      </c>
    </row>
    <row r="20" spans="1:12" ht="15" customHeight="1" x14ac:dyDescent="0.3">
      <c r="A20" s="299"/>
      <c r="B20" s="300"/>
      <c r="C20" s="77" t="s">
        <v>85</v>
      </c>
      <c r="D20" s="300"/>
      <c r="E20" s="329"/>
      <c r="F20" s="35">
        <f>+F18+F19</f>
        <v>11.565</v>
      </c>
      <c r="G20" s="35">
        <f t="shared" ref="G20" si="5">+G18+G19</f>
        <v>20.441000000000003</v>
      </c>
      <c r="H20" s="35">
        <f>+G20-F20</f>
        <v>8.876000000000003</v>
      </c>
      <c r="I20" s="47">
        <f>+ROUND(IF(H20&gt;0,H20*E18,0),4)</f>
        <v>0</v>
      </c>
      <c r="L20" s="65">
        <f>IFERROR(H20-'Nátok z PRDS'!H20,"N/A")</f>
        <v>8.876000000000003</v>
      </c>
    </row>
    <row r="21" spans="1:12" ht="15" customHeight="1" x14ac:dyDescent="0.3">
      <c r="A21" s="299" t="s">
        <v>71</v>
      </c>
      <c r="B21" s="300" t="s">
        <v>86</v>
      </c>
      <c r="C21" s="77" t="s">
        <v>73</v>
      </c>
      <c r="D21" s="114" t="s">
        <v>118</v>
      </c>
      <c r="E21" s="61"/>
      <c r="F21" s="39">
        <v>6.65</v>
      </c>
      <c r="G21" s="39">
        <v>6.84</v>
      </c>
      <c r="H21" s="35">
        <f>+G21-F21</f>
        <v>0.1899999999999995</v>
      </c>
      <c r="I21" s="47">
        <f t="shared" ref="I21:I22" si="6">+ROUND(IF(H21&gt;0,H21*E21,0),4)</f>
        <v>0</v>
      </c>
      <c r="L21" s="65">
        <f>IFERROR(H21-'Nátok z PRDS'!H21,"N/A")</f>
        <v>0.1899999999999995</v>
      </c>
    </row>
    <row r="22" spans="1:12" ht="15" customHeight="1" x14ac:dyDescent="0.3">
      <c r="A22" s="299"/>
      <c r="B22" s="300"/>
      <c r="C22" s="77" t="s">
        <v>80</v>
      </c>
      <c r="D22" s="114" t="s">
        <v>118</v>
      </c>
      <c r="E22" s="60"/>
      <c r="F22" s="39"/>
      <c r="G22" s="39"/>
      <c r="H22" s="35">
        <f>+G22-F22</f>
        <v>0</v>
      </c>
      <c r="I22" s="47">
        <f t="shared" si="6"/>
        <v>0</v>
      </c>
      <c r="L22" s="65">
        <f>IFERROR(H22-'Nátok z PRDS'!H22,"N/A")</f>
        <v>0</v>
      </c>
    </row>
    <row r="23" spans="1:12" ht="15" customHeight="1" x14ac:dyDescent="0.3">
      <c r="A23" s="299"/>
      <c r="B23" s="300"/>
      <c r="C23" s="77" t="s">
        <v>82</v>
      </c>
      <c r="D23" s="300" t="s">
        <v>75</v>
      </c>
      <c r="E23" s="329"/>
      <c r="F23" s="39">
        <v>24.78</v>
      </c>
      <c r="G23" s="39">
        <v>20.100000000000001</v>
      </c>
      <c r="H23" s="35" t="s">
        <v>76</v>
      </c>
      <c r="I23" s="35" t="s">
        <v>76</v>
      </c>
      <c r="L23" s="65" t="str">
        <f>IFERROR(H23-'Nátok z PRDS'!H23,"N/A")</f>
        <v>N/A</v>
      </c>
    </row>
    <row r="24" spans="1:12" ht="15" customHeight="1" x14ac:dyDescent="0.3">
      <c r="A24" s="299"/>
      <c r="B24" s="300"/>
      <c r="C24" s="77" t="s">
        <v>77</v>
      </c>
      <c r="D24" s="300"/>
      <c r="E24" s="329"/>
      <c r="F24" s="39">
        <v>10.914999999999999</v>
      </c>
      <c r="G24" s="39">
        <v>19.911000000000001</v>
      </c>
      <c r="H24" s="35" t="s">
        <v>76</v>
      </c>
      <c r="I24" s="35" t="s">
        <v>76</v>
      </c>
      <c r="L24" s="65" t="str">
        <f>IFERROR(H24-'Nátok z PRDS'!H24,"N/A")</f>
        <v>N/A</v>
      </c>
    </row>
    <row r="25" spans="1:12" ht="15" customHeight="1" x14ac:dyDescent="0.3">
      <c r="A25" s="299"/>
      <c r="B25" s="300"/>
      <c r="C25" s="77" t="s">
        <v>83</v>
      </c>
      <c r="D25" s="300"/>
      <c r="E25" s="329"/>
      <c r="F25" s="35">
        <f>+F23+F24</f>
        <v>35.695</v>
      </c>
      <c r="G25" s="35">
        <f>+G23+G24</f>
        <v>40.011000000000003</v>
      </c>
      <c r="H25" s="35">
        <f>+G25-F25</f>
        <v>4.3160000000000025</v>
      </c>
      <c r="I25" s="47">
        <f>+ROUND(IF(H25&gt;0,H25*E23,0),4)</f>
        <v>0</v>
      </c>
      <c r="L25" s="65">
        <f>IFERROR(H25-'Nátok z PRDS'!H25,"N/A")</f>
        <v>4.3160000000000025</v>
      </c>
    </row>
    <row r="26" spans="1:12" ht="15" customHeight="1" x14ac:dyDescent="0.3">
      <c r="A26" s="299"/>
      <c r="B26" s="300"/>
      <c r="C26" s="77" t="s">
        <v>84</v>
      </c>
      <c r="D26" s="300" t="s">
        <v>75</v>
      </c>
      <c r="E26" s="329"/>
      <c r="F26" s="39">
        <v>6.03</v>
      </c>
      <c r="G26" s="39">
        <v>4.8899999999999997</v>
      </c>
      <c r="H26" s="35" t="s">
        <v>76</v>
      </c>
      <c r="I26" s="35" t="s">
        <v>76</v>
      </c>
      <c r="L26" s="65" t="str">
        <f>IFERROR(H26-'Nátok z PRDS'!H26,"N/A")</f>
        <v>N/A</v>
      </c>
    </row>
    <row r="27" spans="1:12" ht="15" customHeight="1" x14ac:dyDescent="0.3">
      <c r="A27" s="299"/>
      <c r="B27" s="300"/>
      <c r="C27" s="77" t="s">
        <v>77</v>
      </c>
      <c r="D27" s="300"/>
      <c r="E27" s="329"/>
      <c r="F27" s="39">
        <v>10.914999999999999</v>
      </c>
      <c r="G27" s="39">
        <v>19.911000000000001</v>
      </c>
      <c r="H27" s="35" t="s">
        <v>76</v>
      </c>
      <c r="I27" s="35" t="s">
        <v>76</v>
      </c>
      <c r="L27" s="65" t="str">
        <f>IFERROR(H27-'Nátok z PRDS'!H27,"N/A")</f>
        <v>N/A</v>
      </c>
    </row>
    <row r="28" spans="1:12" ht="15" customHeight="1" x14ac:dyDescent="0.3">
      <c r="A28" s="299"/>
      <c r="B28" s="300"/>
      <c r="C28" s="77" t="s">
        <v>85</v>
      </c>
      <c r="D28" s="300"/>
      <c r="E28" s="329"/>
      <c r="F28" s="35">
        <f>+F26+F27</f>
        <v>16.945</v>
      </c>
      <c r="G28" s="35">
        <f t="shared" ref="G28" si="7">+G26+G27</f>
        <v>24.801000000000002</v>
      </c>
      <c r="H28" s="35">
        <f>+G28-F28</f>
        <v>7.8560000000000016</v>
      </c>
      <c r="I28" s="47">
        <f>+ROUND(IF(H28&gt;0,H28*E26,0),4)</f>
        <v>0</v>
      </c>
      <c r="L28" s="65">
        <f>IFERROR(H28-'Nátok z PRDS'!H28,"N/A")</f>
        <v>7.8560000000000016</v>
      </c>
    </row>
    <row r="29" spans="1:12" ht="15" customHeight="1" x14ac:dyDescent="0.3">
      <c r="A29" s="299" t="s">
        <v>71</v>
      </c>
      <c r="B29" s="300" t="s">
        <v>87</v>
      </c>
      <c r="C29" s="77" t="s">
        <v>73</v>
      </c>
      <c r="D29" s="114" t="s">
        <v>118</v>
      </c>
      <c r="E29" s="61"/>
      <c r="F29" s="39">
        <v>10.3</v>
      </c>
      <c r="G29" s="39">
        <v>10.6</v>
      </c>
      <c r="H29" s="35">
        <f>+G29-F29</f>
        <v>0.29999999999999893</v>
      </c>
      <c r="I29" s="47">
        <f t="shared" ref="I29" si="8">+ROUND(IF(H29&gt;0,H29*E29,0),4)</f>
        <v>0</v>
      </c>
      <c r="L29" s="65">
        <f>IFERROR(H29-'Nátok z PRDS'!H29,"N/A")</f>
        <v>0.29999999999999893</v>
      </c>
    </row>
    <row r="30" spans="1:12" ht="15" customHeight="1" x14ac:dyDescent="0.3">
      <c r="A30" s="299"/>
      <c r="B30" s="300"/>
      <c r="C30" s="77" t="s">
        <v>82</v>
      </c>
      <c r="D30" s="300" t="s">
        <v>75</v>
      </c>
      <c r="E30" s="329"/>
      <c r="F30" s="39">
        <v>0.65</v>
      </c>
      <c r="G30" s="39">
        <v>0.53</v>
      </c>
      <c r="H30" s="35" t="s">
        <v>76</v>
      </c>
      <c r="I30" s="35" t="s">
        <v>76</v>
      </c>
      <c r="L30" s="65" t="str">
        <f>IFERROR(H30-'Nátok z PRDS'!H30,"N/A")</f>
        <v>N/A</v>
      </c>
    </row>
    <row r="31" spans="1:12" ht="15" customHeight="1" x14ac:dyDescent="0.3">
      <c r="A31" s="299"/>
      <c r="B31" s="300"/>
      <c r="C31" s="77" t="s">
        <v>77</v>
      </c>
      <c r="D31" s="300"/>
      <c r="E31" s="329"/>
      <c r="F31" s="39">
        <v>10.914999999999999</v>
      </c>
      <c r="G31" s="39">
        <v>19.911000000000001</v>
      </c>
      <c r="H31" s="35" t="s">
        <v>76</v>
      </c>
      <c r="I31" s="35" t="s">
        <v>76</v>
      </c>
      <c r="L31" s="65" t="str">
        <f>IFERROR(H31-'Nátok z PRDS'!H31,"N/A")</f>
        <v>N/A</v>
      </c>
    </row>
    <row r="32" spans="1:12" ht="15" customHeight="1" x14ac:dyDescent="0.3">
      <c r="A32" s="299"/>
      <c r="B32" s="300"/>
      <c r="C32" s="77" t="s">
        <v>83</v>
      </c>
      <c r="D32" s="300"/>
      <c r="E32" s="329"/>
      <c r="F32" s="35">
        <f>+F30+F31</f>
        <v>11.565</v>
      </c>
      <c r="G32" s="35">
        <f t="shared" ref="G32" si="9">+G30+G31</f>
        <v>20.441000000000003</v>
      </c>
      <c r="H32" s="35">
        <f>+G32-F32</f>
        <v>8.876000000000003</v>
      </c>
      <c r="I32" s="47">
        <f>+ROUND(IF(H32&gt;0,H32*E30,0),4)</f>
        <v>0</v>
      </c>
      <c r="L32" s="65">
        <f>IFERROR(H32-'Nátok z PRDS'!H32,"N/A")</f>
        <v>8.876000000000003</v>
      </c>
    </row>
    <row r="33" spans="1:12" ht="15" customHeight="1" x14ac:dyDescent="0.3">
      <c r="A33" s="299"/>
      <c r="B33" s="300"/>
      <c r="C33" s="77" t="s">
        <v>84</v>
      </c>
      <c r="D33" s="300" t="s">
        <v>75</v>
      </c>
      <c r="E33" s="329"/>
      <c r="F33" s="39">
        <v>0.65</v>
      </c>
      <c r="G33" s="39">
        <v>0.53</v>
      </c>
      <c r="H33" s="35" t="s">
        <v>76</v>
      </c>
      <c r="I33" s="35" t="s">
        <v>76</v>
      </c>
      <c r="L33" s="65" t="str">
        <f>IFERROR(H33-'Nátok z PRDS'!H33,"N/A")</f>
        <v>N/A</v>
      </c>
    </row>
    <row r="34" spans="1:12" ht="15" customHeight="1" x14ac:dyDescent="0.3">
      <c r="A34" s="299"/>
      <c r="B34" s="300"/>
      <c r="C34" s="77" t="s">
        <v>77</v>
      </c>
      <c r="D34" s="300"/>
      <c r="E34" s="329"/>
      <c r="F34" s="39">
        <v>10.914999999999999</v>
      </c>
      <c r="G34" s="39">
        <v>19.911000000000001</v>
      </c>
      <c r="H34" s="35" t="s">
        <v>76</v>
      </c>
      <c r="I34" s="35" t="s">
        <v>76</v>
      </c>
      <c r="L34" s="65" t="str">
        <f>IFERROR(H34-'Nátok z PRDS'!H34,"N/A")</f>
        <v>N/A</v>
      </c>
    </row>
    <row r="35" spans="1:12" ht="15" customHeight="1" x14ac:dyDescent="0.3">
      <c r="A35" s="299"/>
      <c r="B35" s="300"/>
      <c r="C35" s="77" t="s">
        <v>85</v>
      </c>
      <c r="D35" s="300"/>
      <c r="E35" s="329"/>
      <c r="F35" s="35">
        <f>+F33+F34</f>
        <v>11.565</v>
      </c>
      <c r="G35" s="35">
        <f t="shared" ref="G35" si="10">+G33+G34</f>
        <v>20.441000000000003</v>
      </c>
      <c r="H35" s="35">
        <f>+G35-F35</f>
        <v>8.876000000000003</v>
      </c>
      <c r="I35" s="47">
        <f>+ROUND(IF(H35&gt;0,H35*E33,0),4)</f>
        <v>0</v>
      </c>
      <c r="L35" s="65">
        <f>IFERROR(H35-'Nátok z PRDS'!H35,"N/A")</f>
        <v>8.876000000000003</v>
      </c>
    </row>
    <row r="36" spans="1:12" ht="15" customHeight="1" x14ac:dyDescent="0.3">
      <c r="A36" s="299" t="s">
        <v>71</v>
      </c>
      <c r="B36" s="300" t="s">
        <v>88</v>
      </c>
      <c r="C36" s="77" t="s">
        <v>73</v>
      </c>
      <c r="D36" s="114" t="s">
        <v>118</v>
      </c>
      <c r="E36" s="61"/>
      <c r="F36" s="39">
        <v>10.3</v>
      </c>
      <c r="G36" s="39">
        <v>10.6</v>
      </c>
      <c r="H36" s="35">
        <f>+G36-F36</f>
        <v>0.29999999999999893</v>
      </c>
      <c r="I36" s="47">
        <f t="shared" ref="I36" si="11">+ROUND(IF(H36&gt;0,H36*E36,0),4)</f>
        <v>0</v>
      </c>
      <c r="L36" s="65">
        <f>IFERROR(H36-'Nátok z PRDS'!H36,"N/A")</f>
        <v>0.29999999999999893</v>
      </c>
    </row>
    <row r="37" spans="1:12" ht="15" customHeight="1" x14ac:dyDescent="0.3">
      <c r="A37" s="299"/>
      <c r="B37" s="300"/>
      <c r="C37" s="77" t="s">
        <v>82</v>
      </c>
      <c r="D37" s="300" t="s">
        <v>75</v>
      </c>
      <c r="E37" s="329"/>
      <c r="F37" s="39">
        <v>0.65</v>
      </c>
      <c r="G37" s="39">
        <v>0.53</v>
      </c>
      <c r="H37" s="35" t="s">
        <v>76</v>
      </c>
      <c r="I37" s="35" t="s">
        <v>76</v>
      </c>
      <c r="L37" s="65" t="str">
        <f>IFERROR(H37-'Nátok z PRDS'!H37,"N/A")</f>
        <v>N/A</v>
      </c>
    </row>
    <row r="38" spans="1:12" ht="15" customHeight="1" x14ac:dyDescent="0.3">
      <c r="A38" s="299"/>
      <c r="B38" s="300"/>
      <c r="C38" s="77" t="s">
        <v>77</v>
      </c>
      <c r="D38" s="300"/>
      <c r="E38" s="329"/>
      <c r="F38" s="39">
        <v>10.914999999999999</v>
      </c>
      <c r="G38" s="39">
        <v>19.911000000000001</v>
      </c>
      <c r="H38" s="35" t="s">
        <v>76</v>
      </c>
      <c r="I38" s="35" t="s">
        <v>76</v>
      </c>
      <c r="L38" s="65" t="str">
        <f>IFERROR(H38-'Nátok z PRDS'!H38,"N/A")</f>
        <v>N/A</v>
      </c>
    </row>
    <row r="39" spans="1:12" ht="15" customHeight="1" x14ac:dyDescent="0.3">
      <c r="A39" s="299"/>
      <c r="B39" s="300"/>
      <c r="C39" s="77" t="s">
        <v>83</v>
      </c>
      <c r="D39" s="300"/>
      <c r="E39" s="329"/>
      <c r="F39" s="35">
        <f>+F37+F38</f>
        <v>11.565</v>
      </c>
      <c r="G39" s="35">
        <f t="shared" ref="G39" si="12">+G37+G38</f>
        <v>20.441000000000003</v>
      </c>
      <c r="H39" s="35">
        <f>+G39-F39</f>
        <v>8.876000000000003</v>
      </c>
      <c r="I39" s="47">
        <f>+ROUND(IF(H39&gt;0,H39*E37,0),4)</f>
        <v>0</v>
      </c>
      <c r="L39" s="65">
        <f>IFERROR(H39-'Nátok z PRDS'!H39,"N/A")</f>
        <v>8.876000000000003</v>
      </c>
    </row>
    <row r="40" spans="1:12" ht="15" customHeight="1" x14ac:dyDescent="0.3">
      <c r="A40" s="299"/>
      <c r="B40" s="300"/>
      <c r="C40" s="77" t="s">
        <v>84</v>
      </c>
      <c r="D40" s="300" t="s">
        <v>75</v>
      </c>
      <c r="E40" s="329"/>
      <c r="F40" s="39">
        <v>0.65</v>
      </c>
      <c r="G40" s="39">
        <v>0.53</v>
      </c>
      <c r="H40" s="35" t="s">
        <v>76</v>
      </c>
      <c r="I40" s="35" t="s">
        <v>76</v>
      </c>
      <c r="L40" s="65" t="str">
        <f>IFERROR(H40-'Nátok z PRDS'!H40,"N/A")</f>
        <v>N/A</v>
      </c>
    </row>
    <row r="41" spans="1:12" ht="15" customHeight="1" x14ac:dyDescent="0.3">
      <c r="A41" s="299"/>
      <c r="B41" s="300"/>
      <c r="C41" s="77" t="s">
        <v>77</v>
      </c>
      <c r="D41" s="300"/>
      <c r="E41" s="329"/>
      <c r="F41" s="39">
        <v>10.914999999999999</v>
      </c>
      <c r="G41" s="39">
        <v>19.911000000000001</v>
      </c>
      <c r="H41" s="35" t="s">
        <v>76</v>
      </c>
      <c r="I41" s="35" t="s">
        <v>76</v>
      </c>
      <c r="L41" s="65" t="str">
        <f>IFERROR(H41-'Nátok z PRDS'!H41,"N/A")</f>
        <v>N/A</v>
      </c>
    </row>
    <row r="42" spans="1:12" ht="15" customHeight="1" x14ac:dyDescent="0.3">
      <c r="A42" s="299"/>
      <c r="B42" s="300"/>
      <c r="C42" s="77" t="s">
        <v>85</v>
      </c>
      <c r="D42" s="300"/>
      <c r="E42" s="329"/>
      <c r="F42" s="35">
        <f>+F40+F41</f>
        <v>11.565</v>
      </c>
      <c r="G42" s="35">
        <f t="shared" ref="G42" si="13">+G40+G41</f>
        <v>20.441000000000003</v>
      </c>
      <c r="H42" s="35">
        <f>+G42-F42</f>
        <v>8.876000000000003</v>
      </c>
      <c r="I42" s="47">
        <f>+ROUND(IF(H42&gt;0,H42*E40,0),4)</f>
        <v>0</v>
      </c>
      <c r="L42" s="65">
        <f>IFERROR(H42-'Nátok z PRDS'!H42,"N/A")</f>
        <v>8.876000000000003</v>
      </c>
    </row>
    <row r="43" spans="1:12" ht="15" customHeight="1" x14ac:dyDescent="0.3">
      <c r="A43" s="299" t="s">
        <v>71</v>
      </c>
      <c r="B43" s="300" t="s">
        <v>89</v>
      </c>
      <c r="C43" s="77" t="s">
        <v>73</v>
      </c>
      <c r="D43" s="114" t="s">
        <v>118</v>
      </c>
      <c r="E43" s="61"/>
      <c r="F43" s="39">
        <v>1.1200000000000001</v>
      </c>
      <c r="G43" s="39">
        <v>1.1499999999999999</v>
      </c>
      <c r="H43" s="35">
        <f>+G43-F43</f>
        <v>2.9999999999999805E-2</v>
      </c>
      <c r="I43" s="47">
        <f>+ROUND(IF(H43&gt;0,H43*E43,0),4)</f>
        <v>0</v>
      </c>
      <c r="L43" s="65">
        <f>IFERROR(H43-'Nátok z PRDS'!H43,"N/A")</f>
        <v>2.9999999999999805E-2</v>
      </c>
    </row>
    <row r="44" spans="1:12" ht="15" customHeight="1" x14ac:dyDescent="0.3">
      <c r="A44" s="299"/>
      <c r="B44" s="300"/>
      <c r="C44" s="77" t="s">
        <v>82</v>
      </c>
      <c r="D44" s="300" t="s">
        <v>75</v>
      </c>
      <c r="E44" s="329"/>
      <c r="F44" s="39">
        <v>51.05</v>
      </c>
      <c r="G44" s="39">
        <v>42.37</v>
      </c>
      <c r="H44" s="35" t="s">
        <v>76</v>
      </c>
      <c r="I44" s="35" t="s">
        <v>76</v>
      </c>
      <c r="L44" s="65" t="str">
        <f>IFERROR(H44-'Nátok z PRDS'!H44,"N/A")</f>
        <v>N/A</v>
      </c>
    </row>
    <row r="45" spans="1:12" ht="15" customHeight="1" x14ac:dyDescent="0.3">
      <c r="A45" s="299"/>
      <c r="B45" s="300"/>
      <c r="C45" s="77" t="s">
        <v>77</v>
      </c>
      <c r="D45" s="300"/>
      <c r="E45" s="329"/>
      <c r="F45" s="39">
        <v>10.914999999999999</v>
      </c>
      <c r="G45" s="39">
        <v>19.911000000000001</v>
      </c>
      <c r="H45" s="35" t="s">
        <v>76</v>
      </c>
      <c r="I45" s="35" t="s">
        <v>76</v>
      </c>
      <c r="L45" s="65" t="str">
        <f>IFERROR(H45-'Nátok z PRDS'!H45,"N/A")</f>
        <v>N/A</v>
      </c>
    </row>
    <row r="46" spans="1:12" ht="15" customHeight="1" x14ac:dyDescent="0.3">
      <c r="A46" s="299"/>
      <c r="B46" s="300"/>
      <c r="C46" s="77" t="s">
        <v>83</v>
      </c>
      <c r="D46" s="300"/>
      <c r="E46" s="329"/>
      <c r="F46" s="35">
        <f>+F44+F45</f>
        <v>61.964999999999996</v>
      </c>
      <c r="G46" s="35">
        <f t="shared" ref="G46" si="14">+G44+G45</f>
        <v>62.280999999999999</v>
      </c>
      <c r="H46" s="35">
        <f>+G46-F46</f>
        <v>0.3160000000000025</v>
      </c>
      <c r="I46" s="47">
        <f>+ROUND(IF(H46&gt;0,H46*E44,0),4)</f>
        <v>0</v>
      </c>
      <c r="L46" s="65">
        <f>IFERROR(H46-'Nátok z PRDS'!H46,"N/A")</f>
        <v>0.3160000000000025</v>
      </c>
    </row>
    <row r="47" spans="1:12" ht="15" customHeight="1" x14ac:dyDescent="0.3">
      <c r="A47" s="299"/>
      <c r="B47" s="300"/>
      <c r="C47" s="77" t="s">
        <v>84</v>
      </c>
      <c r="D47" s="300" t="s">
        <v>75</v>
      </c>
      <c r="E47" s="329"/>
      <c r="F47" s="39">
        <v>51.05</v>
      </c>
      <c r="G47" s="39">
        <v>42.37</v>
      </c>
      <c r="H47" s="35" t="s">
        <v>76</v>
      </c>
      <c r="I47" s="35" t="s">
        <v>76</v>
      </c>
      <c r="L47" s="65" t="str">
        <f>IFERROR(H47-'Nátok z PRDS'!H47,"N/A")</f>
        <v>N/A</v>
      </c>
    </row>
    <row r="48" spans="1:12" ht="15" customHeight="1" x14ac:dyDescent="0.3">
      <c r="A48" s="299"/>
      <c r="B48" s="300"/>
      <c r="C48" s="77" t="s">
        <v>77</v>
      </c>
      <c r="D48" s="300"/>
      <c r="E48" s="329"/>
      <c r="F48" s="39">
        <v>10.914999999999999</v>
      </c>
      <c r="G48" s="39">
        <v>19.911000000000001</v>
      </c>
      <c r="H48" s="35" t="s">
        <v>76</v>
      </c>
      <c r="I48" s="35" t="s">
        <v>76</v>
      </c>
      <c r="L48" s="65" t="str">
        <f>IFERROR(H48-'Nátok z PRDS'!H48,"N/A")</f>
        <v>N/A</v>
      </c>
    </row>
    <row r="49" spans="1:12" ht="15" customHeight="1" x14ac:dyDescent="0.3">
      <c r="A49" s="299"/>
      <c r="B49" s="300"/>
      <c r="C49" s="77" t="s">
        <v>85</v>
      </c>
      <c r="D49" s="300"/>
      <c r="E49" s="329"/>
      <c r="F49" s="35">
        <f>+F47+F48</f>
        <v>61.964999999999996</v>
      </c>
      <c r="G49" s="35">
        <f t="shared" ref="G49" si="15">+G47+G48</f>
        <v>62.280999999999999</v>
      </c>
      <c r="H49" s="35">
        <f>+G49-F49</f>
        <v>0.3160000000000025</v>
      </c>
      <c r="I49" s="47">
        <f>+ROUND(IF(H49&gt;0,H49*E47,0),4)</f>
        <v>0</v>
      </c>
      <c r="L49" s="65">
        <f>IFERROR(H49-'Nátok z PRDS'!H49,"N/A")</f>
        <v>0.3160000000000025</v>
      </c>
    </row>
    <row r="50" spans="1:12" ht="15" customHeight="1" x14ac:dyDescent="0.3">
      <c r="A50" s="299" t="s">
        <v>71</v>
      </c>
      <c r="B50" s="300" t="s">
        <v>90</v>
      </c>
      <c r="C50" s="77" t="s">
        <v>73</v>
      </c>
      <c r="D50" s="114" t="s">
        <v>118</v>
      </c>
      <c r="E50" s="61"/>
      <c r="F50" s="39">
        <v>6.65</v>
      </c>
      <c r="G50" s="39">
        <v>6.84</v>
      </c>
      <c r="H50" s="35">
        <f>+G50-F50</f>
        <v>0.1899999999999995</v>
      </c>
      <c r="I50" s="47">
        <f>+ROUND(IF(H50&gt;0,H50*E50,0),4)</f>
        <v>0</v>
      </c>
      <c r="L50" s="65">
        <f>IFERROR(H50-'Nátok z PRDS'!H50,"N/A")</f>
        <v>0.1899999999999995</v>
      </c>
    </row>
    <row r="51" spans="1:12" ht="15" customHeight="1" x14ac:dyDescent="0.3">
      <c r="A51" s="299"/>
      <c r="B51" s="300"/>
      <c r="C51" s="77" t="s">
        <v>82</v>
      </c>
      <c r="D51" s="300" t="s">
        <v>75</v>
      </c>
      <c r="E51" s="329"/>
      <c r="F51" s="39">
        <v>0.65</v>
      </c>
      <c r="G51" s="39">
        <v>0.53</v>
      </c>
      <c r="H51" s="35" t="s">
        <v>76</v>
      </c>
      <c r="I51" s="35" t="s">
        <v>76</v>
      </c>
      <c r="L51" s="65" t="str">
        <f>IFERROR(H51-'Nátok z PRDS'!H51,"N/A")</f>
        <v>N/A</v>
      </c>
    </row>
    <row r="52" spans="1:12" ht="15" customHeight="1" x14ac:dyDescent="0.3">
      <c r="A52" s="299"/>
      <c r="B52" s="300"/>
      <c r="C52" s="77" t="s">
        <v>77</v>
      </c>
      <c r="D52" s="300"/>
      <c r="E52" s="329"/>
      <c r="F52" s="39">
        <v>10.914999999999999</v>
      </c>
      <c r="G52" s="39">
        <v>19.911000000000001</v>
      </c>
      <c r="H52" s="35" t="s">
        <v>76</v>
      </c>
      <c r="I52" s="35" t="s">
        <v>76</v>
      </c>
      <c r="L52" s="65" t="str">
        <f>IFERROR(H52-'Nátok z PRDS'!H52,"N/A")</f>
        <v>N/A</v>
      </c>
    </row>
    <row r="53" spans="1:12" ht="15" customHeight="1" x14ac:dyDescent="0.3">
      <c r="A53" s="299"/>
      <c r="B53" s="300"/>
      <c r="C53" s="77" t="s">
        <v>83</v>
      </c>
      <c r="D53" s="300"/>
      <c r="E53" s="329"/>
      <c r="F53" s="35">
        <f>+F51+F52</f>
        <v>11.565</v>
      </c>
      <c r="G53" s="35">
        <f t="shared" ref="G53" si="16">+G51+G52</f>
        <v>20.441000000000003</v>
      </c>
      <c r="H53" s="35">
        <f>+G53-F53</f>
        <v>8.876000000000003</v>
      </c>
      <c r="I53" s="47">
        <f>+ROUND(IF(H53&gt;0,H53*E51,0),4)</f>
        <v>0</v>
      </c>
      <c r="L53" s="65">
        <f>IFERROR(H53-'Nátok z PRDS'!H53,"N/A")</f>
        <v>8.876000000000003</v>
      </c>
    </row>
    <row r="54" spans="1:12" ht="15" customHeight="1" x14ac:dyDescent="0.3">
      <c r="A54" s="299"/>
      <c r="B54" s="300"/>
      <c r="C54" s="77" t="s">
        <v>84</v>
      </c>
      <c r="D54" s="300" t="s">
        <v>75</v>
      </c>
      <c r="E54" s="329"/>
      <c r="F54" s="39">
        <v>0.65</v>
      </c>
      <c r="G54" s="39">
        <v>0.53</v>
      </c>
      <c r="H54" s="35" t="s">
        <v>76</v>
      </c>
      <c r="I54" s="35" t="s">
        <v>76</v>
      </c>
      <c r="L54" s="65" t="str">
        <f>IFERROR(H54-'Nátok z PRDS'!H54,"N/A")</f>
        <v>N/A</v>
      </c>
    </row>
    <row r="55" spans="1:12" ht="15" customHeight="1" x14ac:dyDescent="0.3">
      <c r="A55" s="299"/>
      <c r="B55" s="300"/>
      <c r="C55" s="77" t="s">
        <v>77</v>
      </c>
      <c r="D55" s="300"/>
      <c r="E55" s="329"/>
      <c r="F55" s="39">
        <v>10.914999999999999</v>
      </c>
      <c r="G55" s="39">
        <v>19.911000000000001</v>
      </c>
      <c r="H55" s="35" t="s">
        <v>76</v>
      </c>
      <c r="I55" s="35" t="s">
        <v>76</v>
      </c>
      <c r="L55" s="65" t="str">
        <f>IFERROR(H55-'Nátok z PRDS'!H55,"N/A")</f>
        <v>N/A</v>
      </c>
    </row>
    <row r="56" spans="1:12" ht="15" customHeight="1" x14ac:dyDescent="0.3">
      <c r="A56" s="299"/>
      <c r="B56" s="300"/>
      <c r="C56" s="77" t="s">
        <v>85</v>
      </c>
      <c r="D56" s="300"/>
      <c r="E56" s="329"/>
      <c r="F56" s="35">
        <f>+F54+F55</f>
        <v>11.565</v>
      </c>
      <c r="G56" s="35">
        <f t="shared" ref="G56" si="17">+G54+G55</f>
        <v>20.441000000000003</v>
      </c>
      <c r="H56" s="35">
        <f>+G56-F56</f>
        <v>8.876000000000003</v>
      </c>
      <c r="I56" s="47">
        <f>+ROUND(IF(H56&gt;0,H56*E54,0),4)</f>
        <v>0</v>
      </c>
      <c r="L56" s="65">
        <f>IFERROR(H56-'Nátok z PRDS'!H56,"N/A")</f>
        <v>8.876000000000003</v>
      </c>
    </row>
    <row r="57" spans="1:12" ht="15" customHeight="1" x14ac:dyDescent="0.3">
      <c r="A57" s="299" t="s">
        <v>71</v>
      </c>
      <c r="B57" s="300" t="s">
        <v>91</v>
      </c>
      <c r="C57" s="77" t="s">
        <v>73</v>
      </c>
      <c r="D57" s="114" t="s">
        <v>118</v>
      </c>
      <c r="E57" s="60"/>
      <c r="F57" s="39"/>
      <c r="G57" s="39"/>
      <c r="H57" s="35">
        <f>+G57-F57</f>
        <v>0</v>
      </c>
      <c r="I57" s="47">
        <f t="shared" ref="I57" si="18">+ROUND(IF(H57&gt;0,H57*E57,0),4)</f>
        <v>0</v>
      </c>
      <c r="L57" s="65">
        <f>IFERROR(H57-'Nátok z PRDS'!H57,"N/A")</f>
        <v>0</v>
      </c>
    </row>
    <row r="58" spans="1:12" ht="15" customHeight="1" x14ac:dyDescent="0.3">
      <c r="A58" s="299"/>
      <c r="B58" s="300"/>
      <c r="C58" s="77" t="s">
        <v>82</v>
      </c>
      <c r="D58" s="300" t="s">
        <v>75</v>
      </c>
      <c r="E58" s="331"/>
      <c r="F58" s="39"/>
      <c r="G58" s="39"/>
      <c r="H58" s="35" t="s">
        <v>76</v>
      </c>
      <c r="I58" s="35" t="s">
        <v>76</v>
      </c>
      <c r="L58" s="65" t="str">
        <f>IFERROR(H58-'Nátok z PRDS'!H58,"N/A")</f>
        <v>N/A</v>
      </c>
    </row>
    <row r="59" spans="1:12" ht="15" customHeight="1" x14ac:dyDescent="0.3">
      <c r="A59" s="299"/>
      <c r="B59" s="300"/>
      <c r="C59" s="77" t="s">
        <v>77</v>
      </c>
      <c r="D59" s="300"/>
      <c r="E59" s="331"/>
      <c r="F59" s="39"/>
      <c r="G59" s="39"/>
      <c r="H59" s="35" t="s">
        <v>76</v>
      </c>
      <c r="I59" s="35" t="s">
        <v>76</v>
      </c>
      <c r="L59" s="65" t="str">
        <f>IFERROR(H59-'Nátok z PRDS'!H59,"N/A")</f>
        <v>N/A</v>
      </c>
    </row>
    <row r="60" spans="1:12" ht="15" customHeight="1" x14ac:dyDescent="0.3">
      <c r="A60" s="299"/>
      <c r="B60" s="300"/>
      <c r="C60" s="77" t="s">
        <v>83</v>
      </c>
      <c r="D60" s="300"/>
      <c r="E60" s="331"/>
      <c r="F60" s="35">
        <f>+F58+F59</f>
        <v>0</v>
      </c>
      <c r="G60" s="35">
        <f t="shared" ref="G60" si="19">+G58+G59</f>
        <v>0</v>
      </c>
      <c r="H60" s="35">
        <f>+G60-F60</f>
        <v>0</v>
      </c>
      <c r="I60" s="47">
        <f>+ROUND(IF(H60&gt;0,H60*E58,0),4)</f>
        <v>0</v>
      </c>
      <c r="L60" s="65">
        <f>IFERROR(H60-'Nátok z PRDS'!H60,"N/A")</f>
        <v>0</v>
      </c>
    </row>
    <row r="61" spans="1:12" ht="15" customHeight="1" x14ac:dyDescent="0.3">
      <c r="A61" s="299"/>
      <c r="B61" s="300"/>
      <c r="C61" s="77" t="s">
        <v>84</v>
      </c>
      <c r="D61" s="300" t="s">
        <v>75</v>
      </c>
      <c r="E61" s="330"/>
      <c r="F61" s="39"/>
      <c r="G61" s="39"/>
      <c r="H61" s="35" t="s">
        <v>76</v>
      </c>
      <c r="I61" s="35" t="s">
        <v>76</v>
      </c>
      <c r="L61" s="65" t="str">
        <f>IFERROR(H61-'Nátok z PRDS'!H61,"N/A")</f>
        <v>N/A</v>
      </c>
    </row>
    <row r="62" spans="1:12" ht="15" customHeight="1" x14ac:dyDescent="0.3">
      <c r="A62" s="299"/>
      <c r="B62" s="300"/>
      <c r="C62" s="77" t="s">
        <v>77</v>
      </c>
      <c r="D62" s="300"/>
      <c r="E62" s="330"/>
      <c r="F62" s="39"/>
      <c r="G62" s="39"/>
      <c r="H62" s="35" t="s">
        <v>76</v>
      </c>
      <c r="I62" s="35" t="s">
        <v>76</v>
      </c>
      <c r="L62" s="65" t="str">
        <f>IFERROR(H62-'Nátok z PRDS'!H62,"N/A")</f>
        <v>N/A</v>
      </c>
    </row>
    <row r="63" spans="1:12" ht="15" customHeight="1" x14ac:dyDescent="0.3">
      <c r="A63" s="299"/>
      <c r="B63" s="300"/>
      <c r="C63" s="77" t="s">
        <v>85</v>
      </c>
      <c r="D63" s="300"/>
      <c r="E63" s="330"/>
      <c r="F63" s="35">
        <f>+F61+F62</f>
        <v>0</v>
      </c>
      <c r="G63" s="35">
        <f t="shared" ref="G63" si="20">+G61+G62</f>
        <v>0</v>
      </c>
      <c r="H63" s="35">
        <f>+G63-F63</f>
        <v>0</v>
      </c>
      <c r="I63" s="47">
        <f>+ROUND(IF(H63&gt;0,H63*E61,0),4)</f>
        <v>0</v>
      </c>
      <c r="L63" s="65">
        <f>IFERROR(H63-'Nátok z PRDS'!H63,"N/A")</f>
        <v>0</v>
      </c>
    </row>
    <row r="64" spans="1:12" ht="15" customHeight="1" x14ac:dyDescent="0.3">
      <c r="A64" s="299" t="s">
        <v>92</v>
      </c>
      <c r="B64" s="300" t="s">
        <v>93</v>
      </c>
      <c r="C64" s="77" t="s">
        <v>73</v>
      </c>
      <c r="D64" s="114" t="s">
        <v>118</v>
      </c>
      <c r="E64" s="60"/>
      <c r="F64" s="39"/>
      <c r="G64" s="39"/>
      <c r="H64" s="35">
        <f>+G64-F64</f>
        <v>0</v>
      </c>
      <c r="I64" s="47">
        <f t="shared" ref="I64" si="21">+ROUND(IF(H64&gt;0,H64*E64,0),4)</f>
        <v>0</v>
      </c>
      <c r="L64" s="65">
        <f>IFERROR(H64-'Nátok z PRDS'!H64,"N/A")</f>
        <v>0</v>
      </c>
    </row>
    <row r="65" spans="1:12" ht="15" customHeight="1" x14ac:dyDescent="0.3">
      <c r="A65" s="299"/>
      <c r="B65" s="300"/>
      <c r="C65" s="77" t="s">
        <v>94</v>
      </c>
      <c r="D65" s="300" t="s">
        <v>75</v>
      </c>
      <c r="E65" s="331"/>
      <c r="F65" s="39"/>
      <c r="G65" s="39"/>
      <c r="H65" s="35" t="s">
        <v>76</v>
      </c>
      <c r="I65" s="35" t="s">
        <v>76</v>
      </c>
      <c r="L65" s="65" t="str">
        <f>IFERROR(H65-'Nátok z PRDS'!H65,"N/A")</f>
        <v>N/A</v>
      </c>
    </row>
    <row r="66" spans="1:12" ht="15" customHeight="1" x14ac:dyDescent="0.3">
      <c r="A66" s="299"/>
      <c r="B66" s="300"/>
      <c r="C66" s="77" t="s">
        <v>77</v>
      </c>
      <c r="D66" s="300"/>
      <c r="E66" s="331"/>
      <c r="F66" s="39"/>
      <c r="G66" s="39"/>
      <c r="H66" s="35" t="s">
        <v>76</v>
      </c>
      <c r="I66" s="35" t="s">
        <v>76</v>
      </c>
      <c r="L66" s="65" t="str">
        <f>IFERROR(H66-'Nátok z PRDS'!H66,"N/A")</f>
        <v>N/A</v>
      </c>
    </row>
    <row r="67" spans="1:12" ht="15" customHeight="1" x14ac:dyDescent="0.3">
      <c r="A67" s="299"/>
      <c r="B67" s="300"/>
      <c r="C67" s="77" t="s">
        <v>95</v>
      </c>
      <c r="D67" s="300"/>
      <c r="E67" s="331"/>
      <c r="F67" s="35">
        <f>+F65+F66</f>
        <v>0</v>
      </c>
      <c r="G67" s="35">
        <f t="shared" ref="G67" si="22">+G65+G66</f>
        <v>0</v>
      </c>
      <c r="H67" s="35">
        <f>+G67-F67</f>
        <v>0</v>
      </c>
      <c r="I67" s="47">
        <f>+ROUND(IF(H67&gt;0,H67*E65,0),4)</f>
        <v>0</v>
      </c>
      <c r="L67" s="65">
        <f>IFERROR(H67-'Nátok z PRDS'!H67,"N/A")</f>
        <v>0</v>
      </c>
    </row>
    <row r="68" spans="1:12" ht="15" customHeight="1" x14ac:dyDescent="0.3">
      <c r="A68" s="299"/>
      <c r="B68" s="300"/>
      <c r="C68" s="77" t="s">
        <v>82</v>
      </c>
      <c r="D68" s="300" t="s">
        <v>75</v>
      </c>
      <c r="E68" s="331"/>
      <c r="F68" s="39"/>
      <c r="G68" s="39"/>
      <c r="H68" s="35" t="s">
        <v>76</v>
      </c>
      <c r="I68" s="35" t="s">
        <v>76</v>
      </c>
      <c r="L68" s="65" t="str">
        <f>IFERROR(H68-'Nátok z PRDS'!H68,"N/A")</f>
        <v>N/A</v>
      </c>
    </row>
    <row r="69" spans="1:12" ht="15" customHeight="1" x14ac:dyDescent="0.3">
      <c r="A69" s="299"/>
      <c r="B69" s="300"/>
      <c r="C69" s="77" t="s">
        <v>77</v>
      </c>
      <c r="D69" s="300"/>
      <c r="E69" s="331"/>
      <c r="F69" s="39"/>
      <c r="G69" s="39"/>
      <c r="H69" s="35" t="s">
        <v>76</v>
      </c>
      <c r="I69" s="35" t="s">
        <v>76</v>
      </c>
      <c r="L69" s="65" t="str">
        <f>IFERROR(H69-'Nátok z PRDS'!H69,"N/A")</f>
        <v>N/A</v>
      </c>
    </row>
    <row r="70" spans="1:12" ht="15" customHeight="1" x14ac:dyDescent="0.3">
      <c r="A70" s="299"/>
      <c r="B70" s="300"/>
      <c r="C70" s="77" t="s">
        <v>83</v>
      </c>
      <c r="D70" s="300"/>
      <c r="E70" s="331"/>
      <c r="F70" s="35">
        <f>+F68+F69</f>
        <v>0</v>
      </c>
      <c r="G70" s="35">
        <f t="shared" ref="G70" si="23">+G68+G69</f>
        <v>0</v>
      </c>
      <c r="H70" s="35">
        <f>+G70-F70</f>
        <v>0</v>
      </c>
      <c r="I70" s="47">
        <f>+ROUND(IF(H70&gt;0,H70*E68,0),4)</f>
        <v>0</v>
      </c>
      <c r="L70" s="65">
        <f>IFERROR(H70-'Nátok z PRDS'!H70,"N/A")</f>
        <v>0</v>
      </c>
    </row>
    <row r="71" spans="1:12" ht="15" customHeight="1" x14ac:dyDescent="0.3">
      <c r="A71" s="299"/>
      <c r="B71" s="300"/>
      <c r="C71" s="77" t="s">
        <v>84</v>
      </c>
      <c r="D71" s="300" t="s">
        <v>75</v>
      </c>
      <c r="E71" s="330"/>
      <c r="F71" s="39"/>
      <c r="G71" s="39"/>
      <c r="H71" s="35" t="s">
        <v>76</v>
      </c>
      <c r="I71" s="35" t="s">
        <v>76</v>
      </c>
      <c r="L71" s="65" t="str">
        <f>IFERROR(H71-'Nátok z PRDS'!H71,"N/A")</f>
        <v>N/A</v>
      </c>
    </row>
    <row r="72" spans="1:12" ht="15" customHeight="1" x14ac:dyDescent="0.3">
      <c r="A72" s="299"/>
      <c r="B72" s="300"/>
      <c r="C72" s="77" t="s">
        <v>77</v>
      </c>
      <c r="D72" s="300"/>
      <c r="E72" s="330"/>
      <c r="F72" s="39"/>
      <c r="G72" s="39"/>
      <c r="H72" s="35" t="s">
        <v>76</v>
      </c>
      <c r="I72" s="35" t="s">
        <v>76</v>
      </c>
      <c r="L72" s="65" t="str">
        <f>IFERROR(H72-'Nátok z PRDS'!H72,"N/A")</f>
        <v>N/A</v>
      </c>
    </row>
    <row r="73" spans="1:12" ht="15" customHeight="1" x14ac:dyDescent="0.3">
      <c r="A73" s="299"/>
      <c r="B73" s="300"/>
      <c r="C73" s="77" t="s">
        <v>85</v>
      </c>
      <c r="D73" s="300"/>
      <c r="E73" s="330"/>
      <c r="F73" s="35">
        <f>+F71+F72</f>
        <v>0</v>
      </c>
      <c r="G73" s="35">
        <f t="shared" ref="G73" si="24">+G71+G72</f>
        <v>0</v>
      </c>
      <c r="H73" s="35">
        <f>+G73-F73</f>
        <v>0</v>
      </c>
      <c r="I73" s="47">
        <f>+ROUND(IF(H73&gt;0,H73*E71,0),4)</f>
        <v>0</v>
      </c>
      <c r="L73" s="65">
        <f>IFERROR(H73-'Nátok z PRDS'!H73,"N/A")</f>
        <v>0</v>
      </c>
    </row>
    <row r="74" spans="1:12" ht="15" customHeight="1" x14ac:dyDescent="0.3">
      <c r="A74" s="299"/>
      <c r="B74" s="300"/>
      <c r="C74" s="77" t="s">
        <v>96</v>
      </c>
      <c r="D74" s="300" t="s">
        <v>75</v>
      </c>
      <c r="E74" s="330"/>
      <c r="F74" s="39"/>
      <c r="G74" s="39"/>
      <c r="H74" s="35" t="s">
        <v>76</v>
      </c>
      <c r="I74" s="35" t="s">
        <v>76</v>
      </c>
      <c r="L74" s="65" t="str">
        <f>IFERROR(H74-'Nátok z PRDS'!H74,"N/A")</f>
        <v>N/A</v>
      </c>
    </row>
    <row r="75" spans="1:12" ht="15" customHeight="1" x14ac:dyDescent="0.3">
      <c r="A75" s="299"/>
      <c r="B75" s="300"/>
      <c r="C75" s="77" t="s">
        <v>77</v>
      </c>
      <c r="D75" s="300"/>
      <c r="E75" s="330"/>
      <c r="F75" s="39"/>
      <c r="G75" s="39"/>
      <c r="H75" s="35" t="s">
        <v>76</v>
      </c>
      <c r="I75" s="35" t="s">
        <v>76</v>
      </c>
      <c r="L75" s="65" t="str">
        <f>IFERROR(H75-'Nátok z PRDS'!H75,"N/A")</f>
        <v>N/A</v>
      </c>
    </row>
    <row r="76" spans="1:12" ht="15" customHeight="1" x14ac:dyDescent="0.3">
      <c r="A76" s="299"/>
      <c r="B76" s="300"/>
      <c r="C76" s="77" t="s">
        <v>97</v>
      </c>
      <c r="D76" s="300"/>
      <c r="E76" s="330"/>
      <c r="F76" s="35">
        <f>+F74+F75</f>
        <v>0</v>
      </c>
      <c r="G76" s="35">
        <f t="shared" ref="G76" si="25">+G74+G75</f>
        <v>0</v>
      </c>
      <c r="H76" s="35">
        <f>+G76-F76</f>
        <v>0</v>
      </c>
      <c r="I76" s="47">
        <f>+ROUND(IF(H76&gt;0,H76*E74,0),4)</f>
        <v>0</v>
      </c>
      <c r="L76" s="65">
        <f>IFERROR(H76-'Nátok z PRDS'!H76,"N/A")</f>
        <v>0</v>
      </c>
    </row>
    <row r="77" spans="1:12" x14ac:dyDescent="0.3">
      <c r="A77" s="314" t="s">
        <v>71</v>
      </c>
      <c r="B77" s="315" t="s">
        <v>103</v>
      </c>
      <c r="C77" s="103" t="s">
        <v>73</v>
      </c>
      <c r="D77" s="161" t="s">
        <v>76</v>
      </c>
      <c r="E77" s="111" t="s">
        <v>76</v>
      </c>
      <c r="F77" s="49" t="s">
        <v>76</v>
      </c>
      <c r="G77" s="49" t="s">
        <v>76</v>
      </c>
      <c r="H77" s="49" t="s">
        <v>76</v>
      </c>
      <c r="I77" s="49">
        <f>+I5+I9+I10+I14+I21+I22+I29+I36+I43+I50+I57+I64</f>
        <v>0</v>
      </c>
      <c r="L77" s="65" t="str">
        <f>IFERROR(H77-'Nátok z PRDS'!H77,"N/A")</f>
        <v>N/A</v>
      </c>
    </row>
    <row r="78" spans="1:12" x14ac:dyDescent="0.3">
      <c r="A78" s="314"/>
      <c r="B78" s="315"/>
      <c r="C78" s="103" t="s">
        <v>78</v>
      </c>
      <c r="D78" s="161"/>
      <c r="E78" s="62">
        <f>SUM(E6,E11,E15,E18,E23,E26,E30,E33,E37,E40,E44,E47,E51,E54,E58,E61,E65,E68,E71,E74)</f>
        <v>0</v>
      </c>
      <c r="F78" s="49" t="s">
        <v>76</v>
      </c>
      <c r="G78" s="49" t="s">
        <v>76</v>
      </c>
      <c r="H78" s="49" t="s">
        <v>76</v>
      </c>
      <c r="I78" s="49">
        <f>+I8+I13+I17+I20+I25+I28+I32+I35+I39+I42+I46+I49+I53+I56+I60+I63+I67+I70+I73+I76</f>
        <v>0</v>
      </c>
      <c r="L78" s="65" t="str">
        <f>IFERROR(H78-'Nátok z PRDS'!H78,"N/A")</f>
        <v>N/A</v>
      </c>
    </row>
    <row r="79" spans="1:12" ht="15" customHeight="1" x14ac:dyDescent="0.3">
      <c r="A79" s="299" t="s">
        <v>104</v>
      </c>
      <c r="B79" s="300" t="s">
        <v>105</v>
      </c>
      <c r="C79" s="77" t="s">
        <v>106</v>
      </c>
      <c r="D79" s="114" t="s">
        <v>107</v>
      </c>
      <c r="E79" s="61"/>
      <c r="F79" s="39">
        <v>6.7799999999999999E-2</v>
      </c>
      <c r="G79" s="39">
        <v>8.14E-2</v>
      </c>
      <c r="H79" s="35">
        <f>+G79-F79</f>
        <v>1.3600000000000001E-2</v>
      </c>
      <c r="I79" s="47">
        <f>+ROUND(IF(H79&gt;0,H79*E79,0),4)</f>
        <v>0</v>
      </c>
      <c r="L79" s="65">
        <f>IFERROR(H79-'Nátok z PRDS'!H79,"N/A")</f>
        <v>1.3600000000000001E-2</v>
      </c>
    </row>
    <row r="80" spans="1:12" ht="15" customHeight="1" x14ac:dyDescent="0.3">
      <c r="A80" s="299"/>
      <c r="B80" s="300"/>
      <c r="C80" s="77" t="s">
        <v>108</v>
      </c>
      <c r="D80" s="114" t="s">
        <v>109</v>
      </c>
      <c r="E80" s="61"/>
      <c r="F80" s="39">
        <v>0.31030000000000002</v>
      </c>
      <c r="G80" s="39">
        <v>0.3725</v>
      </c>
      <c r="H80" s="35">
        <f>+G80-F80</f>
        <v>6.2199999999999978E-2</v>
      </c>
      <c r="I80" s="47">
        <f>+ROUND(IF(H80&gt;0,H80*E80,0),4)</f>
        <v>0</v>
      </c>
      <c r="L80" s="65">
        <f>IFERROR(H80-'Nátok z PRDS'!H80,"N/A")</f>
        <v>6.2199999999999978E-2</v>
      </c>
    </row>
    <row r="81" spans="1:12" ht="15" customHeight="1" x14ac:dyDescent="0.3">
      <c r="A81" s="299"/>
      <c r="B81" s="300"/>
      <c r="C81" s="77" t="s">
        <v>74</v>
      </c>
      <c r="D81" s="300" t="s">
        <v>75</v>
      </c>
      <c r="E81" s="329"/>
      <c r="F81" s="39">
        <v>59.269999999999996</v>
      </c>
      <c r="G81" s="39">
        <v>59.269999999999996</v>
      </c>
      <c r="H81" s="35" t="s">
        <v>76</v>
      </c>
      <c r="I81" s="35" t="s">
        <v>76</v>
      </c>
      <c r="L81" s="65" t="str">
        <f>IFERROR(H81-'Nátok z PRDS'!H81,"N/A")</f>
        <v>N/A</v>
      </c>
    </row>
    <row r="82" spans="1:12" ht="15" customHeight="1" x14ac:dyDescent="0.3">
      <c r="A82" s="299"/>
      <c r="B82" s="300"/>
      <c r="C82" s="77" t="s">
        <v>77</v>
      </c>
      <c r="D82" s="300"/>
      <c r="E82" s="329"/>
      <c r="F82" s="39">
        <v>10.914999999999999</v>
      </c>
      <c r="G82" s="39">
        <v>19.911000000000001</v>
      </c>
      <c r="H82" s="35" t="s">
        <v>76</v>
      </c>
      <c r="I82" s="35" t="s">
        <v>76</v>
      </c>
      <c r="L82" s="65" t="str">
        <f>IFERROR(H82-'Nátok z PRDS'!H82,"N/A")</f>
        <v>N/A</v>
      </c>
    </row>
    <row r="83" spans="1:12" ht="15" customHeight="1" x14ac:dyDescent="0.3">
      <c r="A83" s="299"/>
      <c r="B83" s="300"/>
      <c r="C83" s="77" t="s">
        <v>78</v>
      </c>
      <c r="D83" s="300"/>
      <c r="E83" s="329"/>
      <c r="F83" s="35">
        <f>+F81+F82</f>
        <v>70.185000000000002</v>
      </c>
      <c r="G83" s="35">
        <f t="shared" ref="G83" si="26">+G81+G82</f>
        <v>79.180999999999997</v>
      </c>
      <c r="H83" s="35">
        <f>+G83-F83</f>
        <v>8.9959999999999951</v>
      </c>
      <c r="I83" s="47">
        <f>+ROUND(IF(H83&gt;0,H83*E81,0),4)</f>
        <v>0</v>
      </c>
      <c r="L83" s="65">
        <f>IFERROR(H83-'Nátok z PRDS'!H83,"N/A")</f>
        <v>8.9959999999999951</v>
      </c>
    </row>
    <row r="84" spans="1:12" ht="15" customHeight="1" x14ac:dyDescent="0.3">
      <c r="A84" s="299" t="s">
        <v>104</v>
      </c>
      <c r="B84" s="300" t="s">
        <v>110</v>
      </c>
      <c r="C84" s="77" t="s">
        <v>106</v>
      </c>
      <c r="D84" s="114" t="s">
        <v>107</v>
      </c>
      <c r="E84" s="61"/>
      <c r="F84" s="39">
        <v>0.1186</v>
      </c>
      <c r="G84" s="39">
        <v>0.1305</v>
      </c>
      <c r="H84" s="35">
        <f>+G84-F84</f>
        <v>1.1900000000000008E-2</v>
      </c>
      <c r="I84" s="47">
        <f t="shared" ref="I84:I85" si="27">+ROUND(IF(H84&gt;0,H84*E84,0),4)</f>
        <v>0</v>
      </c>
      <c r="L84" s="65">
        <f>IFERROR(H84-'Nátok z PRDS'!H84,"N/A")</f>
        <v>1.1900000000000008E-2</v>
      </c>
    </row>
    <row r="85" spans="1:12" ht="15" customHeight="1" x14ac:dyDescent="0.3">
      <c r="A85" s="299"/>
      <c r="B85" s="300"/>
      <c r="C85" s="77" t="s">
        <v>108</v>
      </c>
      <c r="D85" s="114" t="s">
        <v>109</v>
      </c>
      <c r="E85" s="61"/>
      <c r="F85" s="39">
        <v>0.54279999999999995</v>
      </c>
      <c r="G85" s="39">
        <v>0.59730000000000005</v>
      </c>
      <c r="H85" s="35">
        <f>+G85-F85</f>
        <v>5.4500000000000104E-2</v>
      </c>
      <c r="I85" s="47">
        <f t="shared" si="27"/>
        <v>0</v>
      </c>
      <c r="L85" s="65">
        <f>IFERROR(H85-'Nátok z PRDS'!H85,"N/A")</f>
        <v>5.4500000000000104E-2</v>
      </c>
    </row>
    <row r="86" spans="1:12" ht="15" customHeight="1" x14ac:dyDescent="0.3">
      <c r="A86" s="299"/>
      <c r="B86" s="300"/>
      <c r="C86" s="77" t="s">
        <v>74</v>
      </c>
      <c r="D86" s="300" t="s">
        <v>75</v>
      </c>
      <c r="E86" s="329"/>
      <c r="F86" s="39">
        <v>53.23</v>
      </c>
      <c r="G86" s="39">
        <v>45.17</v>
      </c>
      <c r="H86" s="35" t="s">
        <v>76</v>
      </c>
      <c r="I86" s="35" t="s">
        <v>76</v>
      </c>
      <c r="L86" s="65" t="str">
        <f>IFERROR(H86-'Nátok z PRDS'!H86,"N/A")</f>
        <v>N/A</v>
      </c>
    </row>
    <row r="87" spans="1:12" ht="15" customHeight="1" x14ac:dyDescent="0.3">
      <c r="A87" s="299"/>
      <c r="B87" s="300"/>
      <c r="C87" s="77" t="s">
        <v>77</v>
      </c>
      <c r="D87" s="300"/>
      <c r="E87" s="329"/>
      <c r="F87" s="39">
        <v>10.914999999999999</v>
      </c>
      <c r="G87" s="39">
        <v>19.911000000000001</v>
      </c>
      <c r="H87" s="35" t="s">
        <v>76</v>
      </c>
      <c r="I87" s="35" t="s">
        <v>76</v>
      </c>
      <c r="L87" s="65" t="str">
        <f>IFERROR(H87-'Nátok z PRDS'!H87,"N/A")</f>
        <v>N/A</v>
      </c>
    </row>
    <row r="88" spans="1:12" ht="15" customHeight="1" x14ac:dyDescent="0.3">
      <c r="A88" s="299"/>
      <c r="B88" s="300"/>
      <c r="C88" s="77" t="s">
        <v>78</v>
      </c>
      <c r="D88" s="300"/>
      <c r="E88" s="329"/>
      <c r="F88" s="35">
        <f>+F86+F87</f>
        <v>64.144999999999996</v>
      </c>
      <c r="G88" s="35">
        <f t="shared" ref="G88" si="28">+G86+G87</f>
        <v>65.081000000000003</v>
      </c>
      <c r="H88" s="35">
        <f>+G88-F88</f>
        <v>0.93600000000000705</v>
      </c>
      <c r="I88" s="47">
        <f>+ROUND(IF(H88&gt;0,H88*E86,0),4)</f>
        <v>0</v>
      </c>
      <c r="L88" s="65">
        <f>IFERROR(H88-'Nátok z PRDS'!H88,"N/A")</f>
        <v>0.93600000000000705</v>
      </c>
    </row>
    <row r="89" spans="1:12" ht="15" customHeight="1" x14ac:dyDescent="0.3">
      <c r="A89" s="299" t="s">
        <v>104</v>
      </c>
      <c r="B89" s="300" t="s">
        <v>111</v>
      </c>
      <c r="C89" s="77" t="s">
        <v>106</v>
      </c>
      <c r="D89" s="114" t="s">
        <v>107</v>
      </c>
      <c r="E89" s="61"/>
      <c r="F89" s="39">
        <v>0.38529999999999998</v>
      </c>
      <c r="G89" s="39">
        <v>0.2248</v>
      </c>
      <c r="H89" s="35">
        <f>+G89-F89</f>
        <v>-0.16049999999999998</v>
      </c>
      <c r="I89" s="47">
        <f t="shared" ref="I89:I90" si="29">+ROUND(IF(H89&gt;0,H89*E89,0),4)</f>
        <v>0</v>
      </c>
      <c r="L89" s="65">
        <f>IFERROR(H89-'Nátok z PRDS'!H89,"N/A")</f>
        <v>-0.16049999999999998</v>
      </c>
    </row>
    <row r="90" spans="1:12" ht="15" customHeight="1" x14ac:dyDescent="0.3">
      <c r="A90" s="299"/>
      <c r="B90" s="300"/>
      <c r="C90" s="77" t="s">
        <v>108</v>
      </c>
      <c r="D90" s="114" t="s">
        <v>109</v>
      </c>
      <c r="E90" s="61"/>
      <c r="F90" s="39">
        <v>1.7634000000000001</v>
      </c>
      <c r="G90" s="39">
        <v>1.0287999999999999</v>
      </c>
      <c r="H90" s="35">
        <f>+G90-F90</f>
        <v>-0.73460000000000014</v>
      </c>
      <c r="I90" s="47">
        <f t="shared" si="29"/>
        <v>0</v>
      </c>
      <c r="L90" s="65">
        <f>IFERROR(H90-'Nátok z PRDS'!H90,"N/A")</f>
        <v>-0.73460000000000014</v>
      </c>
    </row>
    <row r="91" spans="1:12" ht="15" customHeight="1" x14ac:dyDescent="0.3">
      <c r="A91" s="299"/>
      <c r="B91" s="300"/>
      <c r="C91" s="77" t="s">
        <v>74</v>
      </c>
      <c r="D91" s="300" t="s">
        <v>75</v>
      </c>
      <c r="E91" s="329"/>
      <c r="F91" s="39">
        <v>37.909999999999997</v>
      </c>
      <c r="G91" s="39">
        <v>45.17</v>
      </c>
      <c r="H91" s="35" t="s">
        <v>76</v>
      </c>
      <c r="I91" s="35" t="s">
        <v>76</v>
      </c>
      <c r="L91" s="65" t="str">
        <f>IFERROR(H91-'Nátok z PRDS'!H91,"N/A")</f>
        <v>N/A</v>
      </c>
    </row>
    <row r="92" spans="1:12" ht="15" customHeight="1" x14ac:dyDescent="0.3">
      <c r="A92" s="299"/>
      <c r="B92" s="300"/>
      <c r="C92" s="77" t="s">
        <v>77</v>
      </c>
      <c r="D92" s="300"/>
      <c r="E92" s="329"/>
      <c r="F92" s="39">
        <v>10.914999999999999</v>
      </c>
      <c r="G92" s="39">
        <v>19.911000000000001</v>
      </c>
      <c r="H92" s="35" t="s">
        <v>76</v>
      </c>
      <c r="I92" s="35" t="s">
        <v>76</v>
      </c>
      <c r="L92" s="65" t="str">
        <f>IFERROR(H92-'Nátok z PRDS'!H92,"N/A")</f>
        <v>N/A</v>
      </c>
    </row>
    <row r="93" spans="1:12" ht="15" customHeight="1" x14ac:dyDescent="0.3">
      <c r="A93" s="299"/>
      <c r="B93" s="300"/>
      <c r="C93" s="77" t="s">
        <v>78</v>
      </c>
      <c r="D93" s="300"/>
      <c r="E93" s="329"/>
      <c r="F93" s="35">
        <f>+F91+F92</f>
        <v>48.824999999999996</v>
      </c>
      <c r="G93" s="35">
        <f t="shared" ref="G93" si="30">+G91+G92</f>
        <v>65.081000000000003</v>
      </c>
      <c r="H93" s="35">
        <f>+G93-F93</f>
        <v>16.256000000000007</v>
      </c>
      <c r="I93" s="47">
        <f>+ROUND(IF(H93&gt;0,H93*E91,0),4)</f>
        <v>0</v>
      </c>
      <c r="L93" s="65">
        <f>IFERROR(H93-'Nátok z PRDS'!H93,"N/A")</f>
        <v>16.256000000000007</v>
      </c>
    </row>
    <row r="94" spans="1:12" ht="15" customHeight="1" x14ac:dyDescent="0.3">
      <c r="A94" s="299" t="s">
        <v>104</v>
      </c>
      <c r="B94" s="300" t="s">
        <v>112</v>
      </c>
      <c r="C94" s="77" t="s">
        <v>106</v>
      </c>
      <c r="D94" s="114" t="s">
        <v>107</v>
      </c>
      <c r="E94" s="61"/>
      <c r="F94" s="39">
        <v>0.16200000000000001</v>
      </c>
      <c r="G94" s="39">
        <v>0.2248</v>
      </c>
      <c r="H94" s="35">
        <f>+G94-F94</f>
        <v>6.2799999999999995E-2</v>
      </c>
      <c r="I94" s="47">
        <f>+ROUND(IF(H94&gt;0,H94*E94,0),4)</f>
        <v>0</v>
      </c>
      <c r="L94" s="65">
        <f>IFERROR(H94-'Nátok z PRDS'!H94,"N/A")</f>
        <v>6.2799999999999995E-2</v>
      </c>
    </row>
    <row r="95" spans="1:12" ht="15" customHeight="1" x14ac:dyDescent="0.3">
      <c r="A95" s="299"/>
      <c r="B95" s="300"/>
      <c r="C95" s="77" t="s">
        <v>108</v>
      </c>
      <c r="D95" s="114" t="s">
        <v>109</v>
      </c>
      <c r="E95" s="61"/>
      <c r="F95" s="39">
        <v>0.74139999999999995</v>
      </c>
      <c r="G95" s="39">
        <v>1.0287999999999999</v>
      </c>
      <c r="H95" s="35">
        <f>+G95-F95</f>
        <v>0.28739999999999999</v>
      </c>
      <c r="I95" s="47">
        <f>+ROUND(IF(H95&gt;0,H95*E95,0),4)</f>
        <v>0</v>
      </c>
      <c r="L95" s="65">
        <f>IFERROR(H95-'Nátok z PRDS'!H95,"N/A")</f>
        <v>0.28739999999999999</v>
      </c>
    </row>
    <row r="96" spans="1:12" ht="15" customHeight="1" x14ac:dyDescent="0.3">
      <c r="A96" s="299"/>
      <c r="B96" s="300"/>
      <c r="C96" s="77" t="s">
        <v>82</v>
      </c>
      <c r="D96" s="300" t="s">
        <v>75</v>
      </c>
      <c r="E96" s="329"/>
      <c r="F96" s="39">
        <v>63.01</v>
      </c>
      <c r="G96" s="39">
        <v>54.1</v>
      </c>
      <c r="H96" s="35" t="s">
        <v>76</v>
      </c>
      <c r="I96" s="35" t="s">
        <v>76</v>
      </c>
      <c r="L96" s="65" t="str">
        <f>IFERROR(H96-'Nátok z PRDS'!H96,"N/A")</f>
        <v>N/A</v>
      </c>
    </row>
    <row r="97" spans="1:12" ht="15" customHeight="1" x14ac:dyDescent="0.3">
      <c r="A97" s="299"/>
      <c r="B97" s="300"/>
      <c r="C97" s="77" t="s">
        <v>77</v>
      </c>
      <c r="D97" s="300"/>
      <c r="E97" s="329"/>
      <c r="F97" s="39">
        <v>10.914999999999999</v>
      </c>
      <c r="G97" s="39">
        <v>19.911000000000001</v>
      </c>
      <c r="H97" s="35" t="s">
        <v>76</v>
      </c>
      <c r="I97" s="35" t="s">
        <v>76</v>
      </c>
      <c r="L97" s="65" t="str">
        <f>IFERROR(H97-'Nátok z PRDS'!H97,"N/A")</f>
        <v>N/A</v>
      </c>
    </row>
    <row r="98" spans="1:12" ht="15" customHeight="1" x14ac:dyDescent="0.3">
      <c r="A98" s="299"/>
      <c r="B98" s="300"/>
      <c r="C98" s="77" t="s">
        <v>83</v>
      </c>
      <c r="D98" s="300"/>
      <c r="E98" s="329"/>
      <c r="F98" s="35">
        <f>+F96+F97</f>
        <v>73.924999999999997</v>
      </c>
      <c r="G98" s="35">
        <f t="shared" ref="G98" si="31">+G96+G97</f>
        <v>74.010999999999996</v>
      </c>
      <c r="H98" s="35">
        <f>+G98-F98</f>
        <v>8.5999999999998522E-2</v>
      </c>
      <c r="I98" s="47">
        <f>+ROUND(IF(H98&gt;0,H98*E96,0),4)</f>
        <v>0</v>
      </c>
      <c r="L98" s="65">
        <f>IFERROR(H98-'Nátok z PRDS'!H98,"N/A")</f>
        <v>8.5999999999998522E-2</v>
      </c>
    </row>
    <row r="99" spans="1:12" ht="15" customHeight="1" x14ac:dyDescent="0.3">
      <c r="A99" s="299"/>
      <c r="B99" s="300"/>
      <c r="C99" s="77" t="s">
        <v>84</v>
      </c>
      <c r="D99" s="300" t="s">
        <v>75</v>
      </c>
      <c r="E99" s="329"/>
      <c r="F99" s="39">
        <v>5.5</v>
      </c>
      <c r="G99" s="39">
        <v>5.5</v>
      </c>
      <c r="H99" s="35" t="s">
        <v>76</v>
      </c>
      <c r="I99" s="35" t="s">
        <v>76</v>
      </c>
      <c r="L99" s="65" t="str">
        <f>IFERROR(H99-'Nátok z PRDS'!H99,"N/A")</f>
        <v>N/A</v>
      </c>
    </row>
    <row r="100" spans="1:12" ht="15" customHeight="1" x14ac:dyDescent="0.3">
      <c r="A100" s="299"/>
      <c r="B100" s="300"/>
      <c r="C100" s="77" t="s">
        <v>77</v>
      </c>
      <c r="D100" s="300"/>
      <c r="E100" s="329"/>
      <c r="F100" s="39">
        <v>10.914999999999999</v>
      </c>
      <c r="G100" s="39">
        <v>19.911000000000001</v>
      </c>
      <c r="H100" s="35" t="s">
        <v>76</v>
      </c>
      <c r="I100" s="35" t="s">
        <v>76</v>
      </c>
      <c r="L100" s="65" t="str">
        <f>IFERROR(H100-'Nátok z PRDS'!H100,"N/A")</f>
        <v>N/A</v>
      </c>
    </row>
    <row r="101" spans="1:12" ht="15" customHeight="1" x14ac:dyDescent="0.3">
      <c r="A101" s="299"/>
      <c r="B101" s="300"/>
      <c r="C101" s="77" t="s">
        <v>85</v>
      </c>
      <c r="D101" s="300"/>
      <c r="E101" s="329"/>
      <c r="F101" s="35">
        <f>+F99+F100</f>
        <v>16.414999999999999</v>
      </c>
      <c r="G101" s="35">
        <f t="shared" ref="G101" si="32">+G99+G100</f>
        <v>25.411000000000001</v>
      </c>
      <c r="H101" s="35">
        <f>+G101-F101</f>
        <v>8.9960000000000022</v>
      </c>
      <c r="I101" s="47">
        <f>+ROUND(IF(H101&gt;0,H101*E99,0),4)</f>
        <v>0</v>
      </c>
      <c r="L101" s="65">
        <f>IFERROR(H101-'Nátok z PRDS'!H101,"N/A")</f>
        <v>8.9960000000000022</v>
      </c>
    </row>
    <row r="102" spans="1:12" ht="15" customHeight="1" x14ac:dyDescent="0.3">
      <c r="A102" s="299" t="s">
        <v>104</v>
      </c>
      <c r="B102" s="300" t="s">
        <v>113</v>
      </c>
      <c r="C102" s="77" t="s">
        <v>106</v>
      </c>
      <c r="D102" s="114" t="s">
        <v>107</v>
      </c>
      <c r="E102" s="61"/>
      <c r="F102" s="39">
        <v>0.24429999999999999</v>
      </c>
      <c r="G102" s="39">
        <v>0.2248</v>
      </c>
      <c r="H102" s="35">
        <f>+G102-F102</f>
        <v>-1.949999999999999E-2</v>
      </c>
      <c r="I102" s="47">
        <f t="shared" ref="I102" si="33">+ROUND(IF(H102&gt;0,H102*E102,0),4)</f>
        <v>0</v>
      </c>
      <c r="L102" s="65">
        <f>IFERROR(H102-'Nátok z PRDS'!H102,"N/A")</f>
        <v>-1.949999999999999E-2</v>
      </c>
    </row>
    <row r="103" spans="1:12" ht="15" customHeight="1" x14ac:dyDescent="0.3">
      <c r="A103" s="299"/>
      <c r="B103" s="300"/>
      <c r="C103" s="77" t="s">
        <v>108</v>
      </c>
      <c r="D103" s="114" t="s">
        <v>109</v>
      </c>
      <c r="E103" s="61"/>
      <c r="F103" s="39">
        <v>1.1181000000000001</v>
      </c>
      <c r="G103" s="39">
        <v>1.0287999999999999</v>
      </c>
      <c r="H103" s="35">
        <f>+G103-F103</f>
        <v>-8.9300000000000157E-2</v>
      </c>
      <c r="I103" s="47">
        <f>+ROUND(IF(H103&gt;0,H103*E103,0),4)</f>
        <v>0</v>
      </c>
      <c r="L103" s="65">
        <f>IFERROR(H103-'Nátok z PRDS'!H103,"N/A")</f>
        <v>-8.9300000000000157E-2</v>
      </c>
    </row>
    <row r="104" spans="1:12" ht="15" customHeight="1" x14ac:dyDescent="0.3">
      <c r="A104" s="299"/>
      <c r="B104" s="300"/>
      <c r="C104" s="77" t="s">
        <v>82</v>
      </c>
      <c r="D104" s="300" t="s">
        <v>75</v>
      </c>
      <c r="E104" s="329"/>
      <c r="F104" s="39">
        <v>55.47</v>
      </c>
      <c r="G104" s="39">
        <v>54.1</v>
      </c>
      <c r="H104" s="35" t="s">
        <v>76</v>
      </c>
      <c r="I104" s="35" t="s">
        <v>76</v>
      </c>
      <c r="L104" s="65" t="str">
        <f>IFERROR(H104-'Nátok z PRDS'!H104,"N/A")</f>
        <v>N/A</v>
      </c>
    </row>
    <row r="105" spans="1:12" ht="15" customHeight="1" x14ac:dyDescent="0.3">
      <c r="A105" s="299"/>
      <c r="B105" s="300"/>
      <c r="C105" s="77" t="s">
        <v>77</v>
      </c>
      <c r="D105" s="300"/>
      <c r="E105" s="329"/>
      <c r="F105" s="39">
        <v>10.914999999999999</v>
      </c>
      <c r="G105" s="39">
        <v>19.911000000000001</v>
      </c>
      <c r="H105" s="35" t="s">
        <v>76</v>
      </c>
      <c r="I105" s="35" t="s">
        <v>76</v>
      </c>
      <c r="L105" s="65" t="str">
        <f>IFERROR(H105-'Nátok z PRDS'!H105,"N/A")</f>
        <v>N/A</v>
      </c>
    </row>
    <row r="106" spans="1:12" ht="15" customHeight="1" x14ac:dyDescent="0.3">
      <c r="A106" s="299"/>
      <c r="B106" s="300"/>
      <c r="C106" s="77" t="s">
        <v>83</v>
      </c>
      <c r="D106" s="300"/>
      <c r="E106" s="329"/>
      <c r="F106" s="35">
        <f>+F104+F105</f>
        <v>66.384999999999991</v>
      </c>
      <c r="G106" s="35">
        <f t="shared" ref="G106" si="34">+G104+G105</f>
        <v>74.010999999999996</v>
      </c>
      <c r="H106" s="35">
        <f>+G106-F106</f>
        <v>7.6260000000000048</v>
      </c>
      <c r="I106" s="47">
        <f>+ROUND(IF(H106&gt;0,H106*E104,0),4)</f>
        <v>0</v>
      </c>
      <c r="L106" s="65">
        <f>IFERROR(H106-'Nátok z PRDS'!H106,"N/A")</f>
        <v>7.6260000000000048</v>
      </c>
    </row>
    <row r="107" spans="1:12" ht="15" customHeight="1" x14ac:dyDescent="0.3">
      <c r="A107" s="299"/>
      <c r="B107" s="300"/>
      <c r="C107" s="77" t="s">
        <v>84</v>
      </c>
      <c r="D107" s="300" t="s">
        <v>75</v>
      </c>
      <c r="E107" s="329"/>
      <c r="F107" s="39">
        <v>5.5</v>
      </c>
      <c r="G107" s="39">
        <v>5.5</v>
      </c>
      <c r="H107" s="35" t="s">
        <v>76</v>
      </c>
      <c r="I107" s="35" t="s">
        <v>76</v>
      </c>
      <c r="L107" s="65" t="str">
        <f>IFERROR(H107-'Nátok z PRDS'!H107,"N/A")</f>
        <v>N/A</v>
      </c>
    </row>
    <row r="108" spans="1:12" ht="15" customHeight="1" x14ac:dyDescent="0.3">
      <c r="A108" s="299"/>
      <c r="B108" s="300"/>
      <c r="C108" s="77" t="s">
        <v>77</v>
      </c>
      <c r="D108" s="300"/>
      <c r="E108" s="329"/>
      <c r="F108" s="39">
        <v>10.914999999999999</v>
      </c>
      <c r="G108" s="39">
        <v>19.911000000000001</v>
      </c>
      <c r="H108" s="35" t="s">
        <v>76</v>
      </c>
      <c r="I108" s="35" t="s">
        <v>76</v>
      </c>
      <c r="L108" s="65" t="str">
        <f>IFERROR(H108-'Nátok z PRDS'!H108,"N/A")</f>
        <v>N/A</v>
      </c>
    </row>
    <row r="109" spans="1:12" ht="15" customHeight="1" x14ac:dyDescent="0.3">
      <c r="A109" s="299"/>
      <c r="B109" s="300"/>
      <c r="C109" s="77" t="s">
        <v>85</v>
      </c>
      <c r="D109" s="300"/>
      <c r="E109" s="329"/>
      <c r="F109" s="35">
        <f>+F107+F108</f>
        <v>16.414999999999999</v>
      </c>
      <c r="G109" s="35">
        <f t="shared" ref="G109" si="35">+G107+G108</f>
        <v>25.411000000000001</v>
      </c>
      <c r="H109" s="35">
        <f>+G109-F109</f>
        <v>8.9960000000000022</v>
      </c>
      <c r="I109" s="47">
        <f>+ROUND(IF(H109&gt;0,H109*E107,0),4)</f>
        <v>0</v>
      </c>
      <c r="L109" s="65">
        <f>IFERROR(H109-'Nátok z PRDS'!H109,"N/A")</f>
        <v>8.9960000000000022</v>
      </c>
    </row>
    <row r="110" spans="1:12" ht="15" customHeight="1" x14ac:dyDescent="0.3">
      <c r="A110" s="299" t="s">
        <v>104</v>
      </c>
      <c r="B110" s="300" t="s">
        <v>114</v>
      </c>
      <c r="C110" s="77" t="s">
        <v>106</v>
      </c>
      <c r="D110" s="114" t="s">
        <v>107</v>
      </c>
      <c r="E110" s="61"/>
      <c r="F110" s="39">
        <v>0.41589999999999999</v>
      </c>
      <c r="G110" s="39">
        <v>0.2248</v>
      </c>
      <c r="H110" s="35">
        <f>+G110-F110</f>
        <v>-0.19109999999999999</v>
      </c>
      <c r="I110" s="47">
        <f>+ROUND(IF(H110&gt;0,H110*E110,0),4)</f>
        <v>0</v>
      </c>
      <c r="L110" s="65">
        <f>IFERROR(H110-'Nátok z PRDS'!H110,"N/A")</f>
        <v>-0.19109999999999999</v>
      </c>
    </row>
    <row r="111" spans="1:12" ht="15" customHeight="1" x14ac:dyDescent="0.3">
      <c r="A111" s="299"/>
      <c r="B111" s="300"/>
      <c r="C111" s="77" t="s">
        <v>108</v>
      </c>
      <c r="D111" s="114" t="s">
        <v>109</v>
      </c>
      <c r="E111" s="61"/>
      <c r="F111" s="39">
        <v>1.9034</v>
      </c>
      <c r="G111" s="39">
        <v>1.0287999999999999</v>
      </c>
      <c r="H111" s="35">
        <f>+G111-F111</f>
        <v>-0.87460000000000004</v>
      </c>
      <c r="I111" s="47">
        <f>+ROUND(IF(H111&gt;0,H111*E111,0),4)</f>
        <v>0</v>
      </c>
      <c r="L111" s="65">
        <f>IFERROR(H111-'Nátok z PRDS'!H111,"N/A")</f>
        <v>-0.87460000000000004</v>
      </c>
    </row>
    <row r="112" spans="1:12" ht="15" customHeight="1" x14ac:dyDescent="0.3">
      <c r="A112" s="299"/>
      <c r="B112" s="300"/>
      <c r="C112" s="77" t="s">
        <v>82</v>
      </c>
      <c r="D112" s="300" t="s">
        <v>75</v>
      </c>
      <c r="E112" s="329"/>
      <c r="F112" s="39">
        <v>40.919999999999995</v>
      </c>
      <c r="G112" s="39">
        <v>54.1</v>
      </c>
      <c r="H112" s="35" t="s">
        <v>76</v>
      </c>
      <c r="I112" s="35" t="s">
        <v>76</v>
      </c>
      <c r="L112" s="65" t="str">
        <f>IFERROR(H112-'Nátok z PRDS'!H112,"N/A")</f>
        <v>N/A</v>
      </c>
    </row>
    <row r="113" spans="1:12" ht="15" customHeight="1" x14ac:dyDescent="0.3">
      <c r="A113" s="299"/>
      <c r="B113" s="300"/>
      <c r="C113" s="77" t="s">
        <v>77</v>
      </c>
      <c r="D113" s="300"/>
      <c r="E113" s="329"/>
      <c r="F113" s="39">
        <v>10.914999999999999</v>
      </c>
      <c r="G113" s="39">
        <v>19.911000000000001</v>
      </c>
      <c r="H113" s="35" t="s">
        <v>76</v>
      </c>
      <c r="I113" s="35" t="s">
        <v>76</v>
      </c>
      <c r="L113" s="65" t="str">
        <f>IFERROR(H113-'Nátok z PRDS'!H113,"N/A")</f>
        <v>N/A</v>
      </c>
    </row>
    <row r="114" spans="1:12" ht="15" customHeight="1" x14ac:dyDescent="0.3">
      <c r="A114" s="299"/>
      <c r="B114" s="300"/>
      <c r="C114" s="77" t="s">
        <v>83</v>
      </c>
      <c r="D114" s="300"/>
      <c r="E114" s="329"/>
      <c r="F114" s="35">
        <f>+F112+F113</f>
        <v>51.834999999999994</v>
      </c>
      <c r="G114" s="35">
        <f t="shared" ref="G114" si="36">+G112+G113</f>
        <v>74.010999999999996</v>
      </c>
      <c r="H114" s="35">
        <f>+G114-F114</f>
        <v>22.176000000000002</v>
      </c>
      <c r="I114" s="47">
        <f>+ROUND(IF(H114&gt;0,H114*E112,0),4)</f>
        <v>0</v>
      </c>
      <c r="L114" s="65">
        <f>IFERROR(H114-'Nátok z PRDS'!H114,"N/A")</f>
        <v>22.176000000000002</v>
      </c>
    </row>
    <row r="115" spans="1:12" ht="15" customHeight="1" x14ac:dyDescent="0.3">
      <c r="A115" s="299"/>
      <c r="B115" s="300"/>
      <c r="C115" s="77" t="s">
        <v>84</v>
      </c>
      <c r="D115" s="300" t="s">
        <v>75</v>
      </c>
      <c r="E115" s="329"/>
      <c r="F115" s="39">
        <v>5.5</v>
      </c>
      <c r="G115" s="39">
        <v>5.5</v>
      </c>
      <c r="H115" s="35" t="s">
        <v>76</v>
      </c>
      <c r="I115" s="35" t="s">
        <v>76</v>
      </c>
      <c r="L115" s="65" t="str">
        <f>IFERROR(H115-'Nátok z PRDS'!H115,"N/A")</f>
        <v>N/A</v>
      </c>
    </row>
    <row r="116" spans="1:12" ht="15" customHeight="1" x14ac:dyDescent="0.3">
      <c r="A116" s="299"/>
      <c r="B116" s="300"/>
      <c r="C116" s="77" t="s">
        <v>77</v>
      </c>
      <c r="D116" s="300"/>
      <c r="E116" s="329"/>
      <c r="F116" s="39">
        <v>10.914999999999999</v>
      </c>
      <c r="G116" s="39">
        <v>19.911000000000001</v>
      </c>
      <c r="H116" s="35" t="s">
        <v>76</v>
      </c>
      <c r="I116" s="35" t="s">
        <v>76</v>
      </c>
      <c r="L116" s="65" t="str">
        <f>IFERROR(H116-'Nátok z PRDS'!H116,"N/A")</f>
        <v>N/A</v>
      </c>
    </row>
    <row r="117" spans="1:12" ht="15" customHeight="1" x14ac:dyDescent="0.3">
      <c r="A117" s="299"/>
      <c r="B117" s="300"/>
      <c r="C117" s="77" t="s">
        <v>85</v>
      </c>
      <c r="D117" s="300"/>
      <c r="E117" s="329"/>
      <c r="F117" s="35">
        <f>+F115+F116</f>
        <v>16.414999999999999</v>
      </c>
      <c r="G117" s="35">
        <f t="shared" ref="G117" si="37">+G115+G116</f>
        <v>25.411000000000001</v>
      </c>
      <c r="H117" s="35">
        <f>+G117-F117</f>
        <v>8.9960000000000022</v>
      </c>
      <c r="I117" s="47">
        <f>+ROUND(IF(H117&gt;0,H117*E115,0),4)</f>
        <v>0</v>
      </c>
      <c r="L117" s="65">
        <f>IFERROR(H117-'Nátok z PRDS'!H117,"N/A")</f>
        <v>8.9960000000000022</v>
      </c>
    </row>
    <row r="118" spans="1:12" ht="15" customHeight="1" x14ac:dyDescent="0.3">
      <c r="A118" s="299" t="s">
        <v>104</v>
      </c>
      <c r="B118" s="300" t="s">
        <v>115</v>
      </c>
      <c r="C118" s="77" t="s">
        <v>106</v>
      </c>
      <c r="D118" s="114" t="s">
        <v>107</v>
      </c>
      <c r="E118" s="61"/>
      <c r="F118" s="39">
        <v>0.41610000000000003</v>
      </c>
      <c r="G118" s="39">
        <v>0.41610000000000003</v>
      </c>
      <c r="H118" s="35">
        <f>+G118-F118</f>
        <v>0</v>
      </c>
      <c r="I118" s="47">
        <f>+ROUND(IF(H118&gt;0,H118*E118,0),4)</f>
        <v>0</v>
      </c>
      <c r="L118" s="65">
        <f>IFERROR(H118-'Nátok z PRDS'!H118,"N/A")</f>
        <v>0</v>
      </c>
    </row>
    <row r="119" spans="1:12" ht="15" customHeight="1" x14ac:dyDescent="0.3">
      <c r="A119" s="299"/>
      <c r="B119" s="300"/>
      <c r="C119" s="77" t="s">
        <v>108</v>
      </c>
      <c r="D119" s="114" t="s">
        <v>109</v>
      </c>
      <c r="E119" s="61"/>
      <c r="F119" s="39">
        <v>1.9043000000000001</v>
      </c>
      <c r="G119" s="39">
        <v>1.9043000000000001</v>
      </c>
      <c r="H119" s="35">
        <f>+G119-F119</f>
        <v>0</v>
      </c>
      <c r="I119" s="47">
        <f>+ROUND(IF(H119&gt;0,H119*E119,0),4)</f>
        <v>0</v>
      </c>
      <c r="L119" s="65">
        <f>IFERROR(H119-'Nátok z PRDS'!H119,"N/A")</f>
        <v>0</v>
      </c>
    </row>
    <row r="120" spans="1:12" ht="15" customHeight="1" x14ac:dyDescent="0.3">
      <c r="A120" s="299"/>
      <c r="B120" s="300"/>
      <c r="C120" s="77" t="s">
        <v>82</v>
      </c>
      <c r="D120" s="300" t="s">
        <v>75</v>
      </c>
      <c r="E120" s="329"/>
      <c r="F120" s="39">
        <v>68.42</v>
      </c>
      <c r="G120" s="39">
        <v>68.42</v>
      </c>
      <c r="H120" s="35" t="s">
        <v>76</v>
      </c>
      <c r="I120" s="35" t="s">
        <v>76</v>
      </c>
      <c r="L120" s="65" t="str">
        <f>IFERROR(H120-'Nátok z PRDS'!H120,"N/A")</f>
        <v>N/A</v>
      </c>
    </row>
    <row r="121" spans="1:12" ht="15" customHeight="1" x14ac:dyDescent="0.3">
      <c r="A121" s="299"/>
      <c r="B121" s="300"/>
      <c r="C121" s="77" t="s">
        <v>77</v>
      </c>
      <c r="D121" s="300"/>
      <c r="E121" s="329"/>
      <c r="F121" s="39">
        <v>10.914999999999999</v>
      </c>
      <c r="G121" s="39">
        <v>19.911000000000001</v>
      </c>
      <c r="H121" s="35" t="s">
        <v>76</v>
      </c>
      <c r="I121" s="35" t="s">
        <v>76</v>
      </c>
      <c r="L121" s="65" t="str">
        <f>IFERROR(H121-'Nátok z PRDS'!H121,"N/A")</f>
        <v>N/A</v>
      </c>
    </row>
    <row r="122" spans="1:12" ht="15" customHeight="1" x14ac:dyDescent="0.3">
      <c r="A122" s="299"/>
      <c r="B122" s="300"/>
      <c r="C122" s="77" t="s">
        <v>83</v>
      </c>
      <c r="D122" s="300"/>
      <c r="E122" s="329"/>
      <c r="F122" s="35">
        <f>+F120+F121</f>
        <v>79.335000000000008</v>
      </c>
      <c r="G122" s="35">
        <f t="shared" ref="G122" si="38">+G120+G121</f>
        <v>88.331000000000003</v>
      </c>
      <c r="H122" s="35">
        <f>+G122-F122</f>
        <v>8.9959999999999951</v>
      </c>
      <c r="I122" s="47">
        <f>+ROUND(IF(H122&gt;0,H122*E120,0),4)</f>
        <v>0</v>
      </c>
      <c r="L122" s="65">
        <f>IFERROR(H122-'Nátok z PRDS'!H122,"N/A")</f>
        <v>8.9959999999999951</v>
      </c>
    </row>
    <row r="123" spans="1:12" ht="15" customHeight="1" x14ac:dyDescent="0.3">
      <c r="A123" s="299"/>
      <c r="B123" s="300"/>
      <c r="C123" s="77" t="s">
        <v>84</v>
      </c>
      <c r="D123" s="300" t="s">
        <v>75</v>
      </c>
      <c r="E123" s="329"/>
      <c r="F123" s="39">
        <v>12.360000000000001</v>
      </c>
      <c r="G123" s="39">
        <v>12.36</v>
      </c>
      <c r="H123" s="35" t="s">
        <v>76</v>
      </c>
      <c r="I123" s="35" t="s">
        <v>76</v>
      </c>
      <c r="L123" s="65" t="str">
        <f>IFERROR(H123-'Nátok z PRDS'!H123,"N/A")</f>
        <v>N/A</v>
      </c>
    </row>
    <row r="124" spans="1:12" ht="15" customHeight="1" x14ac:dyDescent="0.3">
      <c r="A124" s="299"/>
      <c r="B124" s="300"/>
      <c r="C124" s="77" t="s">
        <v>77</v>
      </c>
      <c r="D124" s="300"/>
      <c r="E124" s="329"/>
      <c r="F124" s="39">
        <v>10.914999999999999</v>
      </c>
      <c r="G124" s="39">
        <v>19.911000000000001</v>
      </c>
      <c r="H124" s="35" t="s">
        <v>76</v>
      </c>
      <c r="I124" s="35" t="s">
        <v>76</v>
      </c>
      <c r="L124" s="65" t="str">
        <f>IFERROR(H124-'Nátok z PRDS'!H124,"N/A")</f>
        <v>N/A</v>
      </c>
    </row>
    <row r="125" spans="1:12" ht="15" customHeight="1" x14ac:dyDescent="0.3">
      <c r="A125" s="299"/>
      <c r="B125" s="300"/>
      <c r="C125" s="77" t="s">
        <v>85</v>
      </c>
      <c r="D125" s="300"/>
      <c r="E125" s="329"/>
      <c r="F125" s="35">
        <f>+F123+F124</f>
        <v>23.274999999999999</v>
      </c>
      <c r="G125" s="35">
        <f t="shared" ref="G125" si="39">+G123+G124</f>
        <v>32.271000000000001</v>
      </c>
      <c r="H125" s="35">
        <f>+G125-F125</f>
        <v>8.9960000000000022</v>
      </c>
      <c r="I125" s="47">
        <f>+ROUND(IF(H125&gt;0,H125*E123,0),4)</f>
        <v>0</v>
      </c>
      <c r="L125" s="65">
        <f>IFERROR(H125-'Nátok z PRDS'!H125,"N/A")</f>
        <v>8.9960000000000022</v>
      </c>
    </row>
    <row r="126" spans="1:12" ht="15" customHeight="1" x14ac:dyDescent="0.3">
      <c r="A126" s="299" t="s">
        <v>104</v>
      </c>
      <c r="B126" s="300" t="s">
        <v>116</v>
      </c>
      <c r="C126" s="77" t="s">
        <v>106</v>
      </c>
      <c r="D126" s="114" t="s">
        <v>107</v>
      </c>
      <c r="E126" s="61"/>
      <c r="F126" s="39">
        <v>0.41610000000000003</v>
      </c>
      <c r="G126" s="39">
        <v>0.41610000000000003</v>
      </c>
      <c r="H126" s="35">
        <f>+G126-F126</f>
        <v>0</v>
      </c>
      <c r="I126" s="47">
        <f>+ROUND(IF(H126&gt;0,H126*E126,0),4)</f>
        <v>0</v>
      </c>
      <c r="L126" s="65">
        <f>IFERROR(H126-'Nátok z PRDS'!H126,"N/A")</f>
        <v>0</v>
      </c>
    </row>
    <row r="127" spans="1:12" ht="15" customHeight="1" x14ac:dyDescent="0.3">
      <c r="A127" s="299"/>
      <c r="B127" s="300"/>
      <c r="C127" s="77" t="s">
        <v>108</v>
      </c>
      <c r="D127" s="114" t="s">
        <v>109</v>
      </c>
      <c r="E127" s="61"/>
      <c r="F127" s="39">
        <v>1.9043000000000001</v>
      </c>
      <c r="G127" s="39">
        <v>1.9043000000000001</v>
      </c>
      <c r="H127" s="35">
        <f>+G127-F127</f>
        <v>0</v>
      </c>
      <c r="I127" s="47">
        <f>+ROUND(IF(H127&gt;0,H127*E127,0),4)</f>
        <v>0</v>
      </c>
      <c r="L127" s="65">
        <f>IFERROR(H127-'Nátok z PRDS'!H127,"N/A")</f>
        <v>0</v>
      </c>
    </row>
    <row r="128" spans="1:12" ht="15" customHeight="1" x14ac:dyDescent="0.3">
      <c r="A128" s="299"/>
      <c r="B128" s="300"/>
      <c r="C128" s="77" t="s">
        <v>82</v>
      </c>
      <c r="D128" s="300" t="s">
        <v>75</v>
      </c>
      <c r="E128" s="329"/>
      <c r="F128" s="39">
        <v>68.42</v>
      </c>
      <c r="G128" s="39">
        <v>68.42</v>
      </c>
      <c r="H128" s="35" t="s">
        <v>76</v>
      </c>
      <c r="I128" s="35" t="s">
        <v>76</v>
      </c>
      <c r="L128" s="65" t="str">
        <f>IFERROR(H128-'Nátok z PRDS'!H128,"N/A")</f>
        <v>N/A</v>
      </c>
    </row>
    <row r="129" spans="1:12" ht="15" customHeight="1" x14ac:dyDescent="0.3">
      <c r="A129" s="299"/>
      <c r="B129" s="300"/>
      <c r="C129" s="77" t="s">
        <v>77</v>
      </c>
      <c r="D129" s="300"/>
      <c r="E129" s="329"/>
      <c r="F129" s="39">
        <v>10.914999999999999</v>
      </c>
      <c r="G129" s="39">
        <v>19.911000000000001</v>
      </c>
      <c r="H129" s="35" t="s">
        <v>76</v>
      </c>
      <c r="I129" s="35" t="s">
        <v>76</v>
      </c>
      <c r="L129" s="65" t="str">
        <f>IFERROR(H129-'Nátok z PRDS'!H129,"N/A")</f>
        <v>N/A</v>
      </c>
    </row>
    <row r="130" spans="1:12" ht="15" customHeight="1" x14ac:dyDescent="0.3">
      <c r="A130" s="299"/>
      <c r="B130" s="300"/>
      <c r="C130" s="77" t="s">
        <v>83</v>
      </c>
      <c r="D130" s="300"/>
      <c r="E130" s="329"/>
      <c r="F130" s="35">
        <f>+F128+F129</f>
        <v>79.335000000000008</v>
      </c>
      <c r="G130" s="35">
        <f t="shared" ref="G130" si="40">+G128+G129</f>
        <v>88.331000000000003</v>
      </c>
      <c r="H130" s="35">
        <f>+G130-F130</f>
        <v>8.9959999999999951</v>
      </c>
      <c r="I130" s="47">
        <f>+ROUND(IF(H130&gt;0,H130*E128,0),4)</f>
        <v>0</v>
      </c>
      <c r="L130" s="65">
        <f>IFERROR(H130-'Nátok z PRDS'!H130,"N/A")</f>
        <v>8.9959999999999951</v>
      </c>
    </row>
    <row r="131" spans="1:12" ht="15" customHeight="1" x14ac:dyDescent="0.3">
      <c r="A131" s="299"/>
      <c r="B131" s="300"/>
      <c r="C131" s="77" t="s">
        <v>84</v>
      </c>
      <c r="D131" s="300" t="s">
        <v>75</v>
      </c>
      <c r="E131" s="329"/>
      <c r="F131" s="39">
        <v>12.36</v>
      </c>
      <c r="G131" s="39">
        <v>12.36</v>
      </c>
      <c r="H131" s="35" t="s">
        <v>76</v>
      </c>
      <c r="I131" s="35" t="s">
        <v>76</v>
      </c>
      <c r="L131" s="65" t="str">
        <f>IFERROR(H131-'Nátok z PRDS'!H131,"N/A")</f>
        <v>N/A</v>
      </c>
    </row>
    <row r="132" spans="1:12" ht="15" customHeight="1" x14ac:dyDescent="0.3">
      <c r="A132" s="299"/>
      <c r="B132" s="300"/>
      <c r="C132" s="77" t="s">
        <v>77</v>
      </c>
      <c r="D132" s="300"/>
      <c r="E132" s="329"/>
      <c r="F132" s="39">
        <v>10.914999999999999</v>
      </c>
      <c r="G132" s="39">
        <v>19.911000000000001</v>
      </c>
      <c r="H132" s="35" t="s">
        <v>76</v>
      </c>
      <c r="I132" s="35" t="s">
        <v>76</v>
      </c>
      <c r="L132" s="65" t="str">
        <f>IFERROR(H132-'Nátok z PRDS'!H132,"N/A")</f>
        <v>N/A</v>
      </c>
    </row>
    <row r="133" spans="1:12" ht="15" customHeight="1" x14ac:dyDescent="0.3">
      <c r="A133" s="299"/>
      <c r="B133" s="300"/>
      <c r="C133" s="77" t="s">
        <v>85</v>
      </c>
      <c r="D133" s="300"/>
      <c r="E133" s="329"/>
      <c r="F133" s="35">
        <f>+F131+F132</f>
        <v>23.274999999999999</v>
      </c>
      <c r="G133" s="35">
        <f t="shared" ref="G133" si="41">+G131+G132</f>
        <v>32.271000000000001</v>
      </c>
      <c r="H133" s="35">
        <f>+G133-F133</f>
        <v>8.9960000000000022</v>
      </c>
      <c r="I133" s="47">
        <f>+ROUND(IF(H133&gt;0,H133*E131,0),4)</f>
        <v>0</v>
      </c>
      <c r="L133" s="65">
        <f>IFERROR(H133-'Nátok z PRDS'!H133,"N/A")</f>
        <v>8.9960000000000022</v>
      </c>
    </row>
    <row r="134" spans="1:12" ht="15" customHeight="1" x14ac:dyDescent="0.3">
      <c r="A134" s="311" t="s">
        <v>104</v>
      </c>
      <c r="B134" s="312" t="s">
        <v>117</v>
      </c>
      <c r="C134" s="78" t="s">
        <v>73</v>
      </c>
      <c r="D134" s="114" t="s">
        <v>118</v>
      </c>
      <c r="E134" s="63"/>
      <c r="F134" s="43">
        <v>2.63</v>
      </c>
      <c r="G134" s="43">
        <v>2.71</v>
      </c>
      <c r="H134" s="36">
        <f>+G134-F134</f>
        <v>8.0000000000000071E-2</v>
      </c>
      <c r="I134" s="47">
        <f>+ROUND(IF(H134&gt;0,H134*E134,0),4)</f>
        <v>0</v>
      </c>
      <c r="L134" s="65">
        <f>IFERROR(H134-'Nátok z PRDS'!H134,"N/A")</f>
        <v>8.0000000000000071E-2</v>
      </c>
    </row>
    <row r="135" spans="1:12" ht="15" customHeight="1" x14ac:dyDescent="0.3">
      <c r="A135" s="311" t="s">
        <v>119</v>
      </c>
      <c r="B135" s="312"/>
      <c r="C135" s="78" t="s">
        <v>73</v>
      </c>
      <c r="D135" s="114" t="s">
        <v>120</v>
      </c>
      <c r="E135" s="63"/>
      <c r="F135" s="43">
        <v>1.8699999999999999</v>
      </c>
      <c r="G135" s="43">
        <v>1.92</v>
      </c>
      <c r="H135" s="36">
        <f t="shared" ref="H135" si="42">+G135-F135</f>
        <v>5.0000000000000044E-2</v>
      </c>
      <c r="I135" s="47">
        <f t="shared" ref="I135:I137" si="43">+ROUND(IF(H135&gt;0,H135*E135,0),4)</f>
        <v>0</v>
      </c>
      <c r="L135" s="65">
        <f>IFERROR(H135-'Nátok z PRDS'!H135,"N/A")</f>
        <v>5.0000000000000044E-2</v>
      </c>
    </row>
    <row r="136" spans="1:12" ht="15" customHeight="1" x14ac:dyDescent="0.3">
      <c r="A136" s="299" t="s">
        <v>104</v>
      </c>
      <c r="B136" s="300" t="s">
        <v>121</v>
      </c>
      <c r="C136" s="77" t="s">
        <v>106</v>
      </c>
      <c r="D136" s="114" t="s">
        <v>107</v>
      </c>
      <c r="E136" s="61"/>
      <c r="F136" s="39">
        <v>6.1400000000000003E-2</v>
      </c>
      <c r="G136" s="39">
        <v>8.14E-2</v>
      </c>
      <c r="H136" s="35">
        <f>+G136-F136</f>
        <v>1.9999999999999997E-2</v>
      </c>
      <c r="I136" s="47">
        <f t="shared" si="43"/>
        <v>0</v>
      </c>
      <c r="L136" s="65">
        <f>IFERROR(H136-'Nátok z PRDS'!H136,"N/A")</f>
        <v>1.9999999999999997E-2</v>
      </c>
    </row>
    <row r="137" spans="1:12" ht="15" customHeight="1" x14ac:dyDescent="0.3">
      <c r="A137" s="299"/>
      <c r="B137" s="300"/>
      <c r="C137" s="77" t="s">
        <v>108</v>
      </c>
      <c r="D137" s="114" t="s">
        <v>109</v>
      </c>
      <c r="E137" s="61"/>
      <c r="F137" s="39">
        <v>0.28100000000000003</v>
      </c>
      <c r="G137" s="39">
        <v>0.3725</v>
      </c>
      <c r="H137" s="35">
        <f>+G137-F137</f>
        <v>9.149999999999997E-2</v>
      </c>
      <c r="I137" s="47">
        <f t="shared" si="43"/>
        <v>0</v>
      </c>
      <c r="L137" s="65">
        <f>IFERROR(H137-'Nátok z PRDS'!H137,"N/A")</f>
        <v>9.149999999999997E-2</v>
      </c>
    </row>
    <row r="138" spans="1:12" ht="15" customHeight="1" x14ac:dyDescent="0.3">
      <c r="A138" s="299"/>
      <c r="B138" s="300"/>
      <c r="C138" s="77" t="s">
        <v>74</v>
      </c>
      <c r="D138" s="300" t="s">
        <v>75</v>
      </c>
      <c r="E138" s="329"/>
      <c r="F138" s="39">
        <v>37.379999999999995</v>
      </c>
      <c r="G138" s="39">
        <v>37.379999999999995</v>
      </c>
      <c r="H138" s="35" t="s">
        <v>76</v>
      </c>
      <c r="I138" s="35" t="s">
        <v>76</v>
      </c>
      <c r="L138" s="65" t="str">
        <f>IFERROR(H138-'Nátok z PRDS'!H138,"N/A")</f>
        <v>N/A</v>
      </c>
    </row>
    <row r="139" spans="1:12" ht="15" customHeight="1" x14ac:dyDescent="0.3">
      <c r="A139" s="299"/>
      <c r="B139" s="300"/>
      <c r="C139" s="77" t="s">
        <v>77</v>
      </c>
      <c r="D139" s="300"/>
      <c r="E139" s="329"/>
      <c r="F139" s="39">
        <v>10.914999999999999</v>
      </c>
      <c r="G139" s="39">
        <v>19.911000000000001</v>
      </c>
      <c r="H139" s="35" t="s">
        <v>76</v>
      </c>
      <c r="I139" s="35" t="s">
        <v>76</v>
      </c>
      <c r="L139" s="65" t="str">
        <f>IFERROR(H139-'Nátok z PRDS'!H139,"N/A")</f>
        <v>N/A</v>
      </c>
    </row>
    <row r="140" spans="1:12" ht="15" customHeight="1" x14ac:dyDescent="0.3">
      <c r="A140" s="299"/>
      <c r="B140" s="300"/>
      <c r="C140" s="77" t="s">
        <v>78</v>
      </c>
      <c r="D140" s="300"/>
      <c r="E140" s="329"/>
      <c r="F140" s="35">
        <f>+F138+F139</f>
        <v>48.294999999999995</v>
      </c>
      <c r="G140" s="35">
        <f t="shared" ref="G140" si="44">+G138+G139</f>
        <v>57.290999999999997</v>
      </c>
      <c r="H140" s="35">
        <f>+G140-F140</f>
        <v>8.9960000000000022</v>
      </c>
      <c r="I140" s="47">
        <f>+ROUND(IF(H140&gt;0,H140*E138,0),4)</f>
        <v>0</v>
      </c>
      <c r="L140" s="65">
        <f>IFERROR(H140-'Nátok z PRDS'!H140,"N/A")</f>
        <v>8.9960000000000022</v>
      </c>
    </row>
    <row r="141" spans="1:12" ht="15" customHeight="1" x14ac:dyDescent="0.3">
      <c r="A141" s="303" t="s">
        <v>104</v>
      </c>
      <c r="B141" s="306" t="s">
        <v>122</v>
      </c>
      <c r="C141" s="77" t="s">
        <v>73</v>
      </c>
      <c r="D141" s="114" t="s">
        <v>118</v>
      </c>
      <c r="E141" s="67"/>
      <c r="F141" s="39"/>
      <c r="G141" s="39"/>
      <c r="H141" s="35">
        <f>+G141-F141</f>
        <v>0</v>
      </c>
      <c r="I141" s="47">
        <f>+ROUND(IF(H141&gt;0,H141*E141,0),4)</f>
        <v>0</v>
      </c>
      <c r="L141" s="65">
        <f>IFERROR(H141-'Nátok z PRDS'!H141,"N/A")</f>
        <v>0</v>
      </c>
    </row>
    <row r="142" spans="1:12" ht="15" customHeight="1" x14ac:dyDescent="0.3">
      <c r="A142" s="304"/>
      <c r="B142" s="307"/>
      <c r="C142" s="77" t="s">
        <v>106</v>
      </c>
      <c r="D142" s="114" t="s">
        <v>107</v>
      </c>
      <c r="E142" s="67"/>
      <c r="F142" s="39"/>
      <c r="G142" s="39"/>
      <c r="H142" s="35">
        <f>+G142-F142</f>
        <v>0</v>
      </c>
      <c r="I142" s="47">
        <f>+ROUND(IF(H142&gt;0,H142*E142,0),4)</f>
        <v>0</v>
      </c>
      <c r="L142" s="65">
        <f>IFERROR(H142-'Nátok z PRDS'!H142,"N/A")</f>
        <v>0</v>
      </c>
    </row>
    <row r="143" spans="1:12" ht="15" customHeight="1" x14ac:dyDescent="0.3">
      <c r="A143" s="304"/>
      <c r="B143" s="307"/>
      <c r="C143" s="77" t="s">
        <v>108</v>
      </c>
      <c r="D143" s="116" t="s">
        <v>109</v>
      </c>
      <c r="E143" s="67"/>
      <c r="F143" s="39"/>
      <c r="G143" s="39"/>
      <c r="H143" s="35">
        <f>+G143-F143</f>
        <v>0</v>
      </c>
      <c r="I143" s="47">
        <f>+ROUND(IF(H143&gt;0,H143*E143,0),4)</f>
        <v>0</v>
      </c>
      <c r="L143" s="65">
        <f>IFERROR(H143-'Nátok z PRDS'!H143,"N/A")</f>
        <v>0</v>
      </c>
    </row>
    <row r="144" spans="1:12" ht="15" customHeight="1" x14ac:dyDescent="0.3">
      <c r="A144" s="304"/>
      <c r="B144" s="307"/>
      <c r="C144" s="77" t="s">
        <v>74</v>
      </c>
      <c r="D144" s="300" t="s">
        <v>75</v>
      </c>
      <c r="E144" s="331"/>
      <c r="F144" s="39"/>
      <c r="G144" s="39"/>
      <c r="H144" s="35" t="s">
        <v>76</v>
      </c>
      <c r="I144" s="35" t="s">
        <v>76</v>
      </c>
      <c r="L144" s="65" t="str">
        <f>IFERROR(H144-'Nátok z PRDS'!H144,"N/A")</f>
        <v>N/A</v>
      </c>
    </row>
    <row r="145" spans="1:12" ht="15" customHeight="1" x14ac:dyDescent="0.3">
      <c r="A145" s="304"/>
      <c r="B145" s="307"/>
      <c r="C145" s="77" t="s">
        <v>77</v>
      </c>
      <c r="D145" s="300"/>
      <c r="E145" s="331"/>
      <c r="F145" s="39"/>
      <c r="G145" s="39"/>
      <c r="H145" s="35" t="s">
        <v>76</v>
      </c>
      <c r="I145" s="35" t="s">
        <v>76</v>
      </c>
      <c r="L145" s="65" t="str">
        <f>IFERROR(H145-'Nátok z PRDS'!H145,"N/A")</f>
        <v>N/A</v>
      </c>
    </row>
    <row r="146" spans="1:12" ht="15" customHeight="1" x14ac:dyDescent="0.3">
      <c r="A146" s="305"/>
      <c r="B146" s="308"/>
      <c r="C146" s="77" t="s">
        <v>78</v>
      </c>
      <c r="D146" s="300"/>
      <c r="E146" s="331"/>
      <c r="F146" s="35">
        <f>+F144+F145</f>
        <v>0</v>
      </c>
      <c r="G146" s="35">
        <f>+G144+G145</f>
        <v>0</v>
      </c>
      <c r="H146" s="35">
        <f>+G146-F146</f>
        <v>0</v>
      </c>
      <c r="I146" s="47">
        <f>+ROUND(IF(H146&gt;0,H146*E144,0),4)</f>
        <v>0</v>
      </c>
      <c r="L146" s="65">
        <f>IFERROR(H146-'Nátok z PRDS'!H146,"N/A")</f>
        <v>0</v>
      </c>
    </row>
    <row r="147" spans="1:12" ht="15" customHeight="1" x14ac:dyDescent="0.3">
      <c r="A147" s="299" t="s">
        <v>104</v>
      </c>
      <c r="B147" s="300" t="s">
        <v>123</v>
      </c>
      <c r="C147" s="77" t="s">
        <v>106</v>
      </c>
      <c r="D147" s="114" t="s">
        <v>107</v>
      </c>
      <c r="E147" s="60"/>
      <c r="F147" s="39"/>
      <c r="G147" s="39"/>
      <c r="H147" s="35">
        <f>+G147-F147</f>
        <v>0</v>
      </c>
      <c r="I147" s="47">
        <f t="shared" ref="I147" si="45">+ROUND(IF(H147&gt;0,H147*E147,0),4)</f>
        <v>0</v>
      </c>
      <c r="L147" s="65">
        <f>IFERROR(H147-'Nátok z PRDS'!H147,"N/A")</f>
        <v>0</v>
      </c>
    </row>
    <row r="148" spans="1:12" ht="15" customHeight="1" x14ac:dyDescent="0.3">
      <c r="A148" s="299"/>
      <c r="B148" s="300"/>
      <c r="C148" s="77" t="s">
        <v>108</v>
      </c>
      <c r="D148" s="114" t="s">
        <v>109</v>
      </c>
      <c r="E148" s="60"/>
      <c r="F148" s="39"/>
      <c r="G148" s="39"/>
      <c r="H148" s="35">
        <f>+G148-F148</f>
        <v>0</v>
      </c>
      <c r="I148" s="47">
        <f>+ROUND(IF(H148&gt;0,H148*E148,0),4)</f>
        <v>0</v>
      </c>
      <c r="L148" s="65">
        <f>IFERROR(H148-'Nátok z PRDS'!H148,"N/A")</f>
        <v>0</v>
      </c>
    </row>
    <row r="149" spans="1:12" ht="15" customHeight="1" x14ac:dyDescent="0.3">
      <c r="A149" s="299"/>
      <c r="B149" s="300"/>
      <c r="C149" s="77" t="s">
        <v>82</v>
      </c>
      <c r="D149" s="300" t="s">
        <v>75</v>
      </c>
      <c r="E149" s="331"/>
      <c r="F149" s="39"/>
      <c r="G149" s="39"/>
      <c r="H149" s="35" t="s">
        <v>76</v>
      </c>
      <c r="I149" s="35" t="s">
        <v>76</v>
      </c>
      <c r="L149" s="65" t="str">
        <f>IFERROR(H149-'Nátok z PRDS'!H149,"N/A")</f>
        <v>N/A</v>
      </c>
    </row>
    <row r="150" spans="1:12" ht="15" customHeight="1" x14ac:dyDescent="0.3">
      <c r="A150" s="299"/>
      <c r="B150" s="300"/>
      <c r="C150" s="77" t="s">
        <v>77</v>
      </c>
      <c r="D150" s="300"/>
      <c r="E150" s="331"/>
      <c r="F150" s="39"/>
      <c r="G150" s="39"/>
      <c r="H150" s="35" t="s">
        <v>76</v>
      </c>
      <c r="I150" s="35" t="s">
        <v>76</v>
      </c>
      <c r="L150" s="65" t="str">
        <f>IFERROR(H150-'Nátok z PRDS'!H150,"N/A")</f>
        <v>N/A</v>
      </c>
    </row>
    <row r="151" spans="1:12" ht="15" customHeight="1" x14ac:dyDescent="0.3">
      <c r="A151" s="299"/>
      <c r="B151" s="300"/>
      <c r="C151" s="77" t="s">
        <v>83</v>
      </c>
      <c r="D151" s="300"/>
      <c r="E151" s="331"/>
      <c r="F151" s="35">
        <f>+F149+F150</f>
        <v>0</v>
      </c>
      <c r="G151" s="35">
        <f t="shared" ref="G151" si="46">+G149+G150</f>
        <v>0</v>
      </c>
      <c r="H151" s="35">
        <f>+G151-F151</f>
        <v>0</v>
      </c>
      <c r="I151" s="47">
        <f>+ROUND(IF(H151&gt;0,H151*E149,0),4)</f>
        <v>0</v>
      </c>
      <c r="L151" s="65">
        <f>IFERROR(H151-'Nátok z PRDS'!H151,"N/A")</f>
        <v>0</v>
      </c>
    </row>
    <row r="152" spans="1:12" ht="15" customHeight="1" x14ac:dyDescent="0.3">
      <c r="A152" s="299"/>
      <c r="B152" s="300"/>
      <c r="C152" s="77" t="s">
        <v>84</v>
      </c>
      <c r="D152" s="300" t="s">
        <v>75</v>
      </c>
      <c r="E152" s="330"/>
      <c r="F152" s="39"/>
      <c r="G152" s="39"/>
      <c r="H152" s="35" t="s">
        <v>76</v>
      </c>
      <c r="I152" s="35" t="s">
        <v>76</v>
      </c>
      <c r="L152" s="65" t="str">
        <f>IFERROR(H152-'Nátok z PRDS'!H152,"N/A")</f>
        <v>N/A</v>
      </c>
    </row>
    <row r="153" spans="1:12" ht="15" customHeight="1" x14ac:dyDescent="0.3">
      <c r="A153" s="299"/>
      <c r="B153" s="300"/>
      <c r="C153" s="77" t="s">
        <v>77</v>
      </c>
      <c r="D153" s="300"/>
      <c r="E153" s="330"/>
      <c r="F153" s="39"/>
      <c r="G153" s="39"/>
      <c r="H153" s="35" t="s">
        <v>76</v>
      </c>
      <c r="I153" s="35" t="s">
        <v>76</v>
      </c>
      <c r="L153" s="65" t="str">
        <f>IFERROR(H153-'Nátok z PRDS'!H153,"N/A")</f>
        <v>N/A</v>
      </c>
    </row>
    <row r="154" spans="1:12" ht="15" customHeight="1" x14ac:dyDescent="0.3">
      <c r="A154" s="299"/>
      <c r="B154" s="300"/>
      <c r="C154" s="77" t="s">
        <v>85</v>
      </c>
      <c r="D154" s="300"/>
      <c r="E154" s="330"/>
      <c r="F154" s="35">
        <f>+F152+F153</f>
        <v>0</v>
      </c>
      <c r="G154" s="35">
        <f t="shared" ref="G154" si="47">+G152+G153</f>
        <v>0</v>
      </c>
      <c r="H154" s="35">
        <f>+G154-F154</f>
        <v>0</v>
      </c>
      <c r="I154" s="47">
        <f>+ROUND(IF(H154&gt;0,H154*E152,0),4)</f>
        <v>0</v>
      </c>
      <c r="L154" s="65">
        <f>IFERROR(H154-'Nátok z PRDS'!H154,"N/A")</f>
        <v>0</v>
      </c>
    </row>
    <row r="155" spans="1:12" ht="15" customHeight="1" x14ac:dyDescent="0.3">
      <c r="A155" s="299" t="s">
        <v>104</v>
      </c>
      <c r="B155" s="300" t="s">
        <v>124</v>
      </c>
      <c r="C155" s="77" t="s">
        <v>106</v>
      </c>
      <c r="D155" s="114" t="s">
        <v>107</v>
      </c>
      <c r="E155" s="60"/>
      <c r="F155" s="39"/>
      <c r="G155" s="39"/>
      <c r="H155" s="35">
        <f>+G155-F155</f>
        <v>0</v>
      </c>
      <c r="I155" s="47">
        <f t="shared" ref="I155:I156" si="48">+ROUND(IF(H155&gt;0,H155*E155,0),4)</f>
        <v>0</v>
      </c>
      <c r="L155" s="65">
        <f>IFERROR(H155-'Nátok z PRDS'!H155,"N/A")</f>
        <v>0</v>
      </c>
    </row>
    <row r="156" spans="1:12" ht="15" customHeight="1" x14ac:dyDescent="0.3">
      <c r="A156" s="299"/>
      <c r="B156" s="300"/>
      <c r="C156" s="77" t="s">
        <v>108</v>
      </c>
      <c r="D156" s="114" t="s">
        <v>109</v>
      </c>
      <c r="E156" s="60"/>
      <c r="F156" s="39"/>
      <c r="G156" s="39"/>
      <c r="H156" s="35">
        <f>+G156-F156</f>
        <v>0</v>
      </c>
      <c r="I156" s="47">
        <f t="shared" si="48"/>
        <v>0</v>
      </c>
      <c r="L156" s="65">
        <f>IFERROR(H156-'Nátok z PRDS'!H156,"N/A")</f>
        <v>0</v>
      </c>
    </row>
    <row r="157" spans="1:12" ht="15" customHeight="1" x14ac:dyDescent="0.3">
      <c r="A157" s="299"/>
      <c r="B157" s="300"/>
      <c r="C157" s="77" t="s">
        <v>94</v>
      </c>
      <c r="D157" s="300" t="s">
        <v>75</v>
      </c>
      <c r="E157" s="331"/>
      <c r="F157" s="39"/>
      <c r="G157" s="39"/>
      <c r="H157" s="35" t="s">
        <v>76</v>
      </c>
      <c r="I157" s="35" t="s">
        <v>76</v>
      </c>
      <c r="L157" s="65" t="str">
        <f>IFERROR(H157-'Nátok z PRDS'!H157,"N/A")</f>
        <v>N/A</v>
      </c>
    </row>
    <row r="158" spans="1:12" ht="15" customHeight="1" x14ac:dyDescent="0.3">
      <c r="A158" s="299"/>
      <c r="B158" s="300"/>
      <c r="C158" s="77" t="s">
        <v>77</v>
      </c>
      <c r="D158" s="300"/>
      <c r="E158" s="331"/>
      <c r="F158" s="39"/>
      <c r="G158" s="39"/>
      <c r="H158" s="35" t="s">
        <v>76</v>
      </c>
      <c r="I158" s="35" t="s">
        <v>76</v>
      </c>
      <c r="L158" s="65" t="str">
        <f>IFERROR(H158-'Nátok z PRDS'!H158,"N/A")</f>
        <v>N/A</v>
      </c>
    </row>
    <row r="159" spans="1:12" ht="15" customHeight="1" x14ac:dyDescent="0.3">
      <c r="A159" s="299"/>
      <c r="B159" s="300"/>
      <c r="C159" s="77" t="s">
        <v>95</v>
      </c>
      <c r="D159" s="300"/>
      <c r="E159" s="331"/>
      <c r="F159" s="35">
        <f>+F157+F158</f>
        <v>0</v>
      </c>
      <c r="G159" s="35">
        <f t="shared" ref="G159" si="49">+G157+G158</f>
        <v>0</v>
      </c>
      <c r="H159" s="35">
        <f>+G159-F159</f>
        <v>0</v>
      </c>
      <c r="I159" s="47">
        <f>+ROUND(IF(H159&gt;0,H159*E157,0),4)</f>
        <v>0</v>
      </c>
      <c r="L159" s="65">
        <f>IFERROR(H159-'Nátok z PRDS'!H159,"N/A")</f>
        <v>0</v>
      </c>
    </row>
    <row r="160" spans="1:12" ht="15" customHeight="1" x14ac:dyDescent="0.3">
      <c r="A160" s="299"/>
      <c r="B160" s="300"/>
      <c r="C160" s="77" t="s">
        <v>82</v>
      </c>
      <c r="D160" s="300" t="s">
        <v>75</v>
      </c>
      <c r="E160" s="331"/>
      <c r="F160" s="39"/>
      <c r="G160" s="39"/>
      <c r="H160" s="35" t="s">
        <v>76</v>
      </c>
      <c r="I160" s="35" t="s">
        <v>76</v>
      </c>
      <c r="L160" s="65" t="str">
        <f>IFERROR(H160-'Nátok z PRDS'!H160,"N/A")</f>
        <v>N/A</v>
      </c>
    </row>
    <row r="161" spans="1:12" ht="15" customHeight="1" x14ac:dyDescent="0.3">
      <c r="A161" s="299"/>
      <c r="B161" s="300"/>
      <c r="C161" s="77" t="s">
        <v>77</v>
      </c>
      <c r="D161" s="300"/>
      <c r="E161" s="331"/>
      <c r="F161" s="39"/>
      <c r="G161" s="39"/>
      <c r="H161" s="35" t="s">
        <v>76</v>
      </c>
      <c r="I161" s="35" t="s">
        <v>76</v>
      </c>
      <c r="L161" s="65" t="str">
        <f>IFERROR(H161-'Nátok z PRDS'!H161,"N/A")</f>
        <v>N/A</v>
      </c>
    </row>
    <row r="162" spans="1:12" ht="15" customHeight="1" x14ac:dyDescent="0.3">
      <c r="A162" s="299"/>
      <c r="B162" s="300"/>
      <c r="C162" s="77" t="s">
        <v>83</v>
      </c>
      <c r="D162" s="300"/>
      <c r="E162" s="331"/>
      <c r="F162" s="35">
        <f>+F160+F161</f>
        <v>0</v>
      </c>
      <c r="G162" s="35">
        <f t="shared" ref="G162" si="50">+G160+G161</f>
        <v>0</v>
      </c>
      <c r="H162" s="35">
        <f>+G162-F162</f>
        <v>0</v>
      </c>
      <c r="I162" s="47">
        <f>+ROUND(IF(H162&gt;0,H162*E160,0),4)</f>
        <v>0</v>
      </c>
      <c r="L162" s="65">
        <f>IFERROR(H162-'Nátok z PRDS'!H162,"N/A")</f>
        <v>0</v>
      </c>
    </row>
    <row r="163" spans="1:12" ht="15" customHeight="1" x14ac:dyDescent="0.3">
      <c r="A163" s="299"/>
      <c r="B163" s="300"/>
      <c r="C163" s="77" t="s">
        <v>84</v>
      </c>
      <c r="D163" s="300" t="s">
        <v>75</v>
      </c>
      <c r="E163" s="330"/>
      <c r="F163" s="39"/>
      <c r="G163" s="39"/>
      <c r="H163" s="35" t="s">
        <v>76</v>
      </c>
      <c r="I163" s="35" t="s">
        <v>76</v>
      </c>
      <c r="L163" s="65" t="str">
        <f>IFERROR(H163-'Nátok z PRDS'!H163,"N/A")</f>
        <v>N/A</v>
      </c>
    </row>
    <row r="164" spans="1:12" ht="15" customHeight="1" x14ac:dyDescent="0.3">
      <c r="A164" s="299"/>
      <c r="B164" s="300"/>
      <c r="C164" s="77" t="s">
        <v>77</v>
      </c>
      <c r="D164" s="300"/>
      <c r="E164" s="330"/>
      <c r="F164" s="39"/>
      <c r="G164" s="39"/>
      <c r="H164" s="35" t="s">
        <v>76</v>
      </c>
      <c r="I164" s="35" t="s">
        <v>76</v>
      </c>
      <c r="L164" s="65" t="str">
        <f>IFERROR(H164-'Nátok z PRDS'!H164,"N/A")</f>
        <v>N/A</v>
      </c>
    </row>
    <row r="165" spans="1:12" ht="15" customHeight="1" x14ac:dyDescent="0.3">
      <c r="A165" s="299"/>
      <c r="B165" s="300"/>
      <c r="C165" s="77" t="s">
        <v>85</v>
      </c>
      <c r="D165" s="300"/>
      <c r="E165" s="330"/>
      <c r="F165" s="35">
        <f>+F163+F164</f>
        <v>0</v>
      </c>
      <c r="G165" s="35">
        <f t="shared" ref="G165" si="51">+G163+G164</f>
        <v>0</v>
      </c>
      <c r="H165" s="35">
        <f>+G165-F165</f>
        <v>0</v>
      </c>
      <c r="I165" s="47">
        <f>+ROUND(IF(H165&gt;0,H165*E163,0),4)</f>
        <v>0</v>
      </c>
      <c r="L165" s="65">
        <f>IFERROR(H165-'Nátok z PRDS'!H165,"N/A")</f>
        <v>0</v>
      </c>
    </row>
    <row r="166" spans="1:12" ht="15" customHeight="1" x14ac:dyDescent="0.3">
      <c r="A166" s="299"/>
      <c r="B166" s="300"/>
      <c r="C166" s="77" t="s">
        <v>96</v>
      </c>
      <c r="D166" s="300" t="s">
        <v>75</v>
      </c>
      <c r="E166" s="330"/>
      <c r="F166" s="39"/>
      <c r="G166" s="39"/>
      <c r="H166" s="35" t="s">
        <v>76</v>
      </c>
      <c r="I166" s="35" t="s">
        <v>76</v>
      </c>
      <c r="L166" s="65" t="str">
        <f>IFERROR(H166-'Nátok z PRDS'!H166,"N/A")</f>
        <v>N/A</v>
      </c>
    </row>
    <row r="167" spans="1:12" ht="15" customHeight="1" x14ac:dyDescent="0.3">
      <c r="A167" s="299"/>
      <c r="B167" s="300"/>
      <c r="C167" s="77" t="s">
        <v>77</v>
      </c>
      <c r="D167" s="300"/>
      <c r="E167" s="330"/>
      <c r="F167" s="39"/>
      <c r="G167" s="39"/>
      <c r="H167" s="35" t="s">
        <v>76</v>
      </c>
      <c r="I167" s="35" t="s">
        <v>76</v>
      </c>
      <c r="L167" s="65" t="str">
        <f>IFERROR(H167-'Nátok z PRDS'!H167,"N/A")</f>
        <v>N/A</v>
      </c>
    </row>
    <row r="168" spans="1:12" ht="15" customHeight="1" x14ac:dyDescent="0.3">
      <c r="A168" s="299"/>
      <c r="B168" s="300"/>
      <c r="C168" s="77" t="s">
        <v>97</v>
      </c>
      <c r="D168" s="300"/>
      <c r="E168" s="330"/>
      <c r="F168" s="35">
        <f>+F166+F167</f>
        <v>0</v>
      </c>
      <c r="G168" s="35">
        <f t="shared" ref="G168" si="52">+G166+G167</f>
        <v>0</v>
      </c>
      <c r="H168" s="35">
        <f>+G168-F168</f>
        <v>0</v>
      </c>
      <c r="I168" s="47">
        <f>+ROUND(IF(H168&gt;0,H168*E166,0),4)</f>
        <v>0</v>
      </c>
      <c r="L168" s="65">
        <f>IFERROR(H168-'Nátok z PRDS'!H168,"N/A")</f>
        <v>0</v>
      </c>
    </row>
    <row r="169" spans="1:12" x14ac:dyDescent="0.3">
      <c r="A169" s="314" t="s">
        <v>104</v>
      </c>
      <c r="B169" s="315" t="s">
        <v>103</v>
      </c>
      <c r="C169" s="103" t="s">
        <v>73</v>
      </c>
      <c r="D169" s="162" t="s">
        <v>76</v>
      </c>
      <c r="E169" s="111" t="s">
        <v>76</v>
      </c>
      <c r="F169" s="49" t="s">
        <v>76</v>
      </c>
      <c r="G169" s="49" t="s">
        <v>76</v>
      </c>
      <c r="H169" s="49" t="s">
        <v>76</v>
      </c>
      <c r="I169" s="49">
        <f>SUM(I79:I80,I84:I85,I89:I90,I94:I95,I102:I103,I110:I111,I118:I119,I126:I127,I134:I137,I147:I148,I155:I156,I141:I143)</f>
        <v>0</v>
      </c>
      <c r="L169" s="65" t="str">
        <f>IFERROR(H169-'Nátok z PRDS'!H169,"N/A")</f>
        <v>N/A</v>
      </c>
    </row>
    <row r="170" spans="1:12" x14ac:dyDescent="0.3">
      <c r="A170" s="314"/>
      <c r="B170" s="315"/>
      <c r="C170" s="103" t="s">
        <v>78</v>
      </c>
      <c r="D170" s="33" t="s">
        <v>75</v>
      </c>
      <c r="E170" s="111">
        <f>SUM(E81,E86,E91,E96,E99,E104,E107,E112,E115,E120,E123,E128,E131,E138,E144,E149,E152,E157,E160,E163,E166)</f>
        <v>0</v>
      </c>
      <c r="F170" s="49" t="s">
        <v>76</v>
      </c>
      <c r="G170" s="49" t="s">
        <v>76</v>
      </c>
      <c r="H170" s="49" t="s">
        <v>76</v>
      </c>
      <c r="I170" s="49">
        <f>SUM(I83,I88,I93,I98,I101,I106,I109,I114,I117,I122,I125,I130,I133,I140,I146,I151,I154,I159,I162,I165,I168)</f>
        <v>0</v>
      </c>
      <c r="L170" s="65" t="str">
        <f>IFERROR(H170-'Nátok z PRDS'!H170,"N/A")</f>
        <v>N/A</v>
      </c>
    </row>
    <row r="171" spans="1:12" ht="15" customHeight="1" x14ac:dyDescent="0.3">
      <c r="A171" s="300" t="s">
        <v>119</v>
      </c>
      <c r="B171" s="300" t="s">
        <v>126</v>
      </c>
      <c r="C171" s="79" t="s">
        <v>127</v>
      </c>
      <c r="D171" s="163" t="s">
        <v>130</v>
      </c>
      <c r="E171" s="61"/>
      <c r="F171" s="58">
        <v>8103.5</v>
      </c>
      <c r="G171" s="58">
        <v>8340.4</v>
      </c>
      <c r="H171" s="35">
        <f t="shared" ref="H171:H180" si="53">+G171-F171</f>
        <v>236.89999999999964</v>
      </c>
      <c r="I171" s="47">
        <f>+ROUND(IF(H171&gt;0,H171*E171,0),4)</f>
        <v>0</v>
      </c>
      <c r="L171" s="65">
        <f>IFERROR(H171-'Nátok z PRDS'!H171,"N/A")</f>
        <v>236.89999999999964</v>
      </c>
    </row>
    <row r="172" spans="1:12" ht="15" customHeight="1" x14ac:dyDescent="0.3">
      <c r="A172" s="300"/>
      <c r="B172" s="300"/>
      <c r="C172" s="79" t="s">
        <v>128</v>
      </c>
      <c r="D172" s="163" t="s">
        <v>130</v>
      </c>
      <c r="E172" s="61"/>
      <c r="F172" s="58">
        <v>6945.8</v>
      </c>
      <c r="G172" s="58">
        <v>7148.9</v>
      </c>
      <c r="H172" s="35">
        <f t="shared" si="53"/>
        <v>203.09999999999945</v>
      </c>
      <c r="I172" s="47">
        <f t="shared" ref="I172:I180" si="54">+ROUND(IF(H172&gt;0,H172*E172,0),4)</f>
        <v>0</v>
      </c>
      <c r="L172" s="65">
        <f>IFERROR(H172-'Nátok z PRDS'!H172,"N/A")</f>
        <v>203.09999999999945</v>
      </c>
    </row>
    <row r="173" spans="1:12" ht="15" customHeight="1" x14ac:dyDescent="0.3">
      <c r="A173" s="300"/>
      <c r="B173" s="300"/>
      <c r="C173" s="79" t="s">
        <v>129</v>
      </c>
      <c r="D173" s="163" t="s">
        <v>130</v>
      </c>
      <c r="E173" s="61"/>
      <c r="F173" s="58">
        <v>5788.2</v>
      </c>
      <c r="G173" s="58">
        <v>5957.4</v>
      </c>
      <c r="H173" s="35">
        <f t="shared" si="53"/>
        <v>169.19999999999982</v>
      </c>
      <c r="I173" s="47">
        <f t="shared" si="54"/>
        <v>0</v>
      </c>
      <c r="L173" s="65">
        <f>IFERROR(H173-'Nátok z PRDS'!H173,"N/A")</f>
        <v>169.19999999999982</v>
      </c>
    </row>
    <row r="174" spans="1:12" ht="15" customHeight="1" x14ac:dyDescent="0.3">
      <c r="A174" s="300"/>
      <c r="B174" s="300"/>
      <c r="C174" s="80" t="s">
        <v>131</v>
      </c>
      <c r="D174" s="163" t="s">
        <v>190</v>
      </c>
      <c r="E174" s="61"/>
      <c r="F174" s="58">
        <v>261.3</v>
      </c>
      <c r="G174" s="58">
        <v>268.89999999999998</v>
      </c>
      <c r="H174" s="35">
        <f t="shared" si="53"/>
        <v>7.5999999999999659</v>
      </c>
      <c r="I174" s="47">
        <f t="shared" si="54"/>
        <v>0</v>
      </c>
      <c r="L174" s="65">
        <f>IFERROR(H174-'Nátok z PRDS'!H174,"N/A")</f>
        <v>7.5999999999999659</v>
      </c>
    </row>
    <row r="175" spans="1:12" ht="24" customHeight="1" x14ac:dyDescent="0.3">
      <c r="A175" s="300"/>
      <c r="B175" s="300"/>
      <c r="C175" s="79" t="s">
        <v>132</v>
      </c>
      <c r="D175" s="163" t="s">
        <v>130</v>
      </c>
      <c r="E175" s="61"/>
      <c r="F175" s="39">
        <v>1215.53</v>
      </c>
      <c r="G175" s="39">
        <v>1251.06</v>
      </c>
      <c r="H175" s="35">
        <f t="shared" si="53"/>
        <v>35.529999999999973</v>
      </c>
      <c r="I175" s="47">
        <f t="shared" si="54"/>
        <v>0</v>
      </c>
      <c r="L175" s="65">
        <f>IFERROR(H175-'Nátok z PRDS'!H175,"N/A")</f>
        <v>35.529999999999973</v>
      </c>
    </row>
    <row r="176" spans="1:12" ht="24" customHeight="1" x14ac:dyDescent="0.3">
      <c r="A176" s="300"/>
      <c r="B176" s="300"/>
      <c r="C176" s="79" t="s">
        <v>133</v>
      </c>
      <c r="D176" s="163" t="s">
        <v>130</v>
      </c>
      <c r="E176" s="61"/>
      <c r="F176" s="39">
        <v>1041.8699999999999</v>
      </c>
      <c r="G176" s="39">
        <v>1072.3399999999999</v>
      </c>
      <c r="H176" s="35">
        <f t="shared" si="53"/>
        <v>30.470000000000027</v>
      </c>
      <c r="I176" s="47">
        <f t="shared" si="54"/>
        <v>0</v>
      </c>
      <c r="L176" s="65">
        <f>IFERROR(H176-'Nátok z PRDS'!H176,"N/A")</f>
        <v>30.470000000000027</v>
      </c>
    </row>
    <row r="177" spans="1:12" ht="24" customHeight="1" x14ac:dyDescent="0.3">
      <c r="A177" s="300"/>
      <c r="B177" s="300"/>
      <c r="C177" s="79" t="s">
        <v>134</v>
      </c>
      <c r="D177" s="163" t="s">
        <v>130</v>
      </c>
      <c r="E177" s="61"/>
      <c r="F177" s="39">
        <v>868.23</v>
      </c>
      <c r="G177" s="39">
        <v>893.61</v>
      </c>
      <c r="H177" s="35">
        <f t="shared" si="53"/>
        <v>25.379999999999995</v>
      </c>
      <c r="I177" s="47">
        <f t="shared" si="54"/>
        <v>0</v>
      </c>
      <c r="L177" s="65">
        <f>IFERROR(H177-'Nátok z PRDS'!H177,"N/A")</f>
        <v>25.379999999999995</v>
      </c>
    </row>
    <row r="178" spans="1:12" ht="15" customHeight="1" x14ac:dyDescent="0.3">
      <c r="A178" s="300"/>
      <c r="B178" s="300"/>
      <c r="C178" s="79" t="s">
        <v>135</v>
      </c>
      <c r="D178" s="163" t="s">
        <v>130</v>
      </c>
      <c r="E178" s="61"/>
      <c r="F178" s="39">
        <v>607.76</v>
      </c>
      <c r="G178" s="39">
        <v>625.53</v>
      </c>
      <c r="H178" s="35">
        <f t="shared" si="53"/>
        <v>17.769999999999982</v>
      </c>
      <c r="I178" s="47">
        <f t="shared" si="54"/>
        <v>0</v>
      </c>
      <c r="L178" s="65">
        <f>IFERROR(H178-'Nátok z PRDS'!H178,"N/A")</f>
        <v>17.769999999999982</v>
      </c>
    </row>
    <row r="179" spans="1:12" ht="15" customHeight="1" x14ac:dyDescent="0.3">
      <c r="A179" s="300"/>
      <c r="B179" s="300"/>
      <c r="C179" s="79" t="s">
        <v>136</v>
      </c>
      <c r="D179" s="163" t="s">
        <v>130</v>
      </c>
      <c r="E179" s="61"/>
      <c r="F179" s="39">
        <v>520.94000000000005</v>
      </c>
      <c r="G179" s="39">
        <v>536.16999999999996</v>
      </c>
      <c r="H179" s="35">
        <f t="shared" si="53"/>
        <v>15.229999999999905</v>
      </c>
      <c r="I179" s="47">
        <f t="shared" si="54"/>
        <v>0</v>
      </c>
      <c r="L179" s="65">
        <f>IFERROR(H179-'Nátok z PRDS'!H179,"N/A")</f>
        <v>15.229999999999905</v>
      </c>
    </row>
    <row r="180" spans="1:12" ht="15" customHeight="1" x14ac:dyDescent="0.3">
      <c r="A180" s="300"/>
      <c r="B180" s="300"/>
      <c r="C180" s="79" t="s">
        <v>137</v>
      </c>
      <c r="D180" s="163" t="s">
        <v>130</v>
      </c>
      <c r="E180" s="61"/>
      <c r="F180" s="39">
        <v>434.12</v>
      </c>
      <c r="G180" s="39">
        <v>446.81</v>
      </c>
      <c r="H180" s="35">
        <f t="shared" si="53"/>
        <v>12.689999999999998</v>
      </c>
      <c r="I180" s="47">
        <f t="shared" si="54"/>
        <v>0</v>
      </c>
      <c r="L180" s="65">
        <f>IFERROR(H180-'Nátok z PRDS'!H180,"N/A")</f>
        <v>12.689999999999998</v>
      </c>
    </row>
    <row r="181" spans="1:12" ht="15" customHeight="1" x14ac:dyDescent="0.3">
      <c r="A181" s="300"/>
      <c r="B181" s="300"/>
      <c r="C181" s="79" t="s">
        <v>74</v>
      </c>
      <c r="D181" s="300" t="s">
        <v>75</v>
      </c>
      <c r="E181" s="329"/>
      <c r="F181" s="39">
        <v>8.81</v>
      </c>
      <c r="G181" s="39">
        <v>7.15</v>
      </c>
      <c r="H181" s="35" t="s">
        <v>76</v>
      </c>
      <c r="I181" s="35" t="s">
        <v>76</v>
      </c>
      <c r="L181" s="65" t="str">
        <f>IFERROR(H181-'Nátok z PRDS'!H181,"N/A")</f>
        <v>N/A</v>
      </c>
    </row>
    <row r="182" spans="1:12" ht="15" customHeight="1" x14ac:dyDescent="0.3">
      <c r="A182" s="300"/>
      <c r="B182" s="300"/>
      <c r="C182" s="79" t="s">
        <v>77</v>
      </c>
      <c r="D182" s="300"/>
      <c r="E182" s="329"/>
      <c r="F182" s="39">
        <v>5.4923000000000002</v>
      </c>
      <c r="G182" s="39">
        <v>10.019</v>
      </c>
      <c r="H182" s="35" t="s">
        <v>76</v>
      </c>
      <c r="I182" s="35" t="s">
        <v>76</v>
      </c>
      <c r="L182" s="65" t="str">
        <f>IFERROR(H182-'Nátok z PRDS'!H182,"N/A")</f>
        <v>N/A</v>
      </c>
    </row>
    <row r="183" spans="1:12" ht="15" customHeight="1" x14ac:dyDescent="0.3">
      <c r="A183" s="300"/>
      <c r="B183" s="300"/>
      <c r="C183" s="79" t="s">
        <v>78</v>
      </c>
      <c r="D183" s="300"/>
      <c r="E183" s="329"/>
      <c r="F183" s="35">
        <f>+F181+F182</f>
        <v>14.302300000000001</v>
      </c>
      <c r="G183" s="35">
        <f t="shared" ref="G183" si="55">+G181+G182</f>
        <v>17.169</v>
      </c>
      <c r="H183" s="35">
        <f>+G183-F183</f>
        <v>2.8666999999999998</v>
      </c>
      <c r="I183" s="47">
        <f>+ROUND(IF(H183&gt;0,H183*E181,0),4)</f>
        <v>0</v>
      </c>
      <c r="L183" s="65">
        <f>IFERROR(H183-'Nátok z PRDS'!H183,"N/A")</f>
        <v>2.8666999999999998</v>
      </c>
    </row>
    <row r="184" spans="1:12" ht="15" customHeight="1" x14ac:dyDescent="0.3">
      <c r="A184" s="300"/>
      <c r="B184" s="300"/>
      <c r="C184" s="79" t="s">
        <v>138</v>
      </c>
      <c r="D184" s="300" t="s">
        <v>75</v>
      </c>
      <c r="E184" s="329"/>
      <c r="F184" s="39">
        <v>8.81</v>
      </c>
      <c r="G184" s="39">
        <v>6.79</v>
      </c>
      <c r="H184" s="35" t="s">
        <v>76</v>
      </c>
      <c r="I184" s="35" t="s">
        <v>76</v>
      </c>
      <c r="L184" s="65" t="str">
        <f>IFERROR(H184-'Nátok z PRDS'!H184,"N/A")</f>
        <v>N/A</v>
      </c>
    </row>
    <row r="185" spans="1:12" ht="15" customHeight="1" x14ac:dyDescent="0.3">
      <c r="A185" s="300"/>
      <c r="B185" s="300"/>
      <c r="C185" s="79" t="s">
        <v>77</v>
      </c>
      <c r="D185" s="300"/>
      <c r="E185" s="329"/>
      <c r="F185" s="39">
        <v>5.4923000000000002</v>
      </c>
      <c r="G185" s="39">
        <v>10.019</v>
      </c>
      <c r="H185" s="35" t="s">
        <v>76</v>
      </c>
      <c r="I185" s="35" t="s">
        <v>76</v>
      </c>
      <c r="L185" s="65" t="str">
        <f>IFERROR(H185-'Nátok z PRDS'!H185,"N/A")</f>
        <v>N/A</v>
      </c>
    </row>
    <row r="186" spans="1:12" ht="15" customHeight="1" x14ac:dyDescent="0.3">
      <c r="A186" s="300"/>
      <c r="B186" s="300"/>
      <c r="C186" s="79" t="s">
        <v>139</v>
      </c>
      <c r="D186" s="300"/>
      <c r="E186" s="329"/>
      <c r="F186" s="35">
        <f>+F184+F185</f>
        <v>14.302300000000001</v>
      </c>
      <c r="G186" s="35">
        <f t="shared" ref="G186" si="56">+G184+G185</f>
        <v>16.809000000000001</v>
      </c>
      <c r="H186" s="35">
        <f>+G186-F186</f>
        <v>2.5067000000000004</v>
      </c>
      <c r="I186" s="47">
        <f>+ROUND(IF(H186&gt;0,H186*E184,0),4)</f>
        <v>0</v>
      </c>
      <c r="L186" s="65">
        <f>IFERROR(H186-'Nátok z PRDS'!H186,"N/A")</f>
        <v>2.5067000000000004</v>
      </c>
    </row>
    <row r="187" spans="1:12" ht="15" customHeight="1" x14ac:dyDescent="0.3">
      <c r="A187" s="300"/>
      <c r="B187" s="300"/>
      <c r="C187" s="79" t="s">
        <v>140</v>
      </c>
      <c r="D187" s="300" t="s">
        <v>75</v>
      </c>
      <c r="E187" s="329"/>
      <c r="F187" s="39">
        <v>8.81</v>
      </c>
      <c r="G187" s="39">
        <v>6.44</v>
      </c>
      <c r="H187" s="35" t="s">
        <v>76</v>
      </c>
      <c r="I187" s="35" t="s">
        <v>76</v>
      </c>
      <c r="L187" s="65" t="str">
        <f>IFERROR(H187-'Nátok z PRDS'!H187,"N/A")</f>
        <v>N/A</v>
      </c>
    </row>
    <row r="188" spans="1:12" ht="15" customHeight="1" x14ac:dyDescent="0.3">
      <c r="A188" s="300"/>
      <c r="B188" s="300"/>
      <c r="C188" s="79" t="s">
        <v>77</v>
      </c>
      <c r="D188" s="300"/>
      <c r="E188" s="329"/>
      <c r="F188" s="39">
        <v>5.4923000000000002</v>
      </c>
      <c r="G188" s="39">
        <v>10.019</v>
      </c>
      <c r="H188" s="35" t="s">
        <v>76</v>
      </c>
      <c r="I188" s="35" t="s">
        <v>76</v>
      </c>
      <c r="L188" s="65" t="str">
        <f>IFERROR(H188-'Nátok z PRDS'!H188,"N/A")</f>
        <v>N/A</v>
      </c>
    </row>
    <row r="189" spans="1:12" ht="15" customHeight="1" x14ac:dyDescent="0.3">
      <c r="A189" s="300"/>
      <c r="B189" s="300"/>
      <c r="C189" s="79" t="s">
        <v>141</v>
      </c>
      <c r="D189" s="300"/>
      <c r="E189" s="329"/>
      <c r="F189" s="35">
        <f>+F187+F188</f>
        <v>14.302300000000001</v>
      </c>
      <c r="G189" s="35">
        <f t="shared" ref="G189" si="57">+G187+G188</f>
        <v>16.459</v>
      </c>
      <c r="H189" s="35">
        <f>+G189-F189</f>
        <v>2.156699999999999</v>
      </c>
      <c r="I189" s="47">
        <f>+ROUND(IF(H189&gt;0,H189*E187,0),4)</f>
        <v>0</v>
      </c>
      <c r="L189" s="65">
        <f>IFERROR(H189-'Nátok z PRDS'!H189,"N/A")</f>
        <v>2.156699999999999</v>
      </c>
    </row>
    <row r="190" spans="1:12" ht="15" customHeight="1" x14ac:dyDescent="0.3">
      <c r="A190" s="299" t="s">
        <v>119</v>
      </c>
      <c r="B190" s="300" t="s">
        <v>142</v>
      </c>
      <c r="C190" s="77" t="s">
        <v>73</v>
      </c>
      <c r="D190" s="114"/>
      <c r="E190" s="60"/>
      <c r="F190" s="39"/>
      <c r="G190" s="39"/>
      <c r="H190" s="35">
        <f>+G190-F190</f>
        <v>0</v>
      </c>
      <c r="I190" s="47">
        <f>+ROUND(IF(H190&gt;0,H190*E190,0),4)</f>
        <v>0</v>
      </c>
      <c r="L190" s="65">
        <f>IFERROR(H190-'Nátok z PRDS'!H190,"N/A")</f>
        <v>0</v>
      </c>
    </row>
    <row r="191" spans="1:12" ht="15" customHeight="1" x14ac:dyDescent="0.3">
      <c r="A191" s="299"/>
      <c r="B191" s="300"/>
      <c r="C191" s="77" t="s">
        <v>74</v>
      </c>
      <c r="D191" s="300" t="s">
        <v>75</v>
      </c>
      <c r="E191" s="331"/>
      <c r="F191" s="39"/>
      <c r="G191" s="39"/>
      <c r="H191" s="35" t="s">
        <v>76</v>
      </c>
      <c r="I191" s="35" t="s">
        <v>76</v>
      </c>
      <c r="L191" s="65" t="str">
        <f>IFERROR(H191-'Nátok z PRDS'!H191,"N/A")</f>
        <v>N/A</v>
      </c>
    </row>
    <row r="192" spans="1:12" ht="15" customHeight="1" x14ac:dyDescent="0.3">
      <c r="A192" s="299"/>
      <c r="B192" s="300"/>
      <c r="C192" s="77" t="s">
        <v>77</v>
      </c>
      <c r="D192" s="300"/>
      <c r="E192" s="331"/>
      <c r="F192" s="39"/>
      <c r="G192" s="39"/>
      <c r="H192" s="35" t="s">
        <v>76</v>
      </c>
      <c r="I192" s="35" t="s">
        <v>76</v>
      </c>
      <c r="L192" s="65" t="str">
        <f>IFERROR(H192-'Nátok z PRDS'!H192,"N/A")</f>
        <v>N/A</v>
      </c>
    </row>
    <row r="193" spans="1:12" ht="15" customHeight="1" x14ac:dyDescent="0.3">
      <c r="A193" s="299"/>
      <c r="B193" s="300"/>
      <c r="C193" s="77" t="s">
        <v>78</v>
      </c>
      <c r="D193" s="300"/>
      <c r="E193" s="331"/>
      <c r="F193" s="35">
        <f>+F191+F192</f>
        <v>0</v>
      </c>
      <c r="G193" s="35">
        <f t="shared" ref="G193" si="58">+G191+G192</f>
        <v>0</v>
      </c>
      <c r="H193" s="35">
        <f>+G193-F193</f>
        <v>0</v>
      </c>
      <c r="I193" s="47">
        <f>+ROUND(IF(H193&gt;0,H193*E191,0),4)</f>
        <v>0</v>
      </c>
      <c r="L193" s="65">
        <f>IFERROR(H193-'Nátok z PRDS'!H193,"N/A")</f>
        <v>0</v>
      </c>
    </row>
    <row r="194" spans="1:12" ht="15" customHeight="1" x14ac:dyDescent="0.3">
      <c r="A194" s="311" t="s">
        <v>119</v>
      </c>
      <c r="B194" s="312" t="s">
        <v>143</v>
      </c>
      <c r="C194" s="78" t="s">
        <v>144</v>
      </c>
      <c r="D194" s="114"/>
      <c r="E194" s="64"/>
      <c r="F194" s="43"/>
      <c r="G194" s="43"/>
      <c r="H194" s="36">
        <f>+G194-F194</f>
        <v>0</v>
      </c>
      <c r="I194" s="48">
        <f>ROUND(IF(H194&gt;0,H194*E194,0),4)</f>
        <v>0</v>
      </c>
      <c r="L194" s="65">
        <f>IFERROR(H194-'Nátok z PRDS'!H194,"N/A")</f>
        <v>0</v>
      </c>
    </row>
    <row r="195" spans="1:12" ht="15" customHeight="1" x14ac:dyDescent="0.3">
      <c r="A195" s="311"/>
      <c r="B195" s="312"/>
      <c r="C195" s="78" t="s">
        <v>74</v>
      </c>
      <c r="D195" s="300" t="s">
        <v>75</v>
      </c>
      <c r="E195" s="332"/>
      <c r="F195" s="43"/>
      <c r="G195" s="43"/>
      <c r="H195" s="36" t="s">
        <v>76</v>
      </c>
      <c r="I195" s="36" t="s">
        <v>76</v>
      </c>
      <c r="L195" s="65" t="str">
        <f>IFERROR(H195-'Nátok z PRDS'!H195,"N/A")</f>
        <v>N/A</v>
      </c>
    </row>
    <row r="196" spans="1:12" ht="15" customHeight="1" x14ac:dyDescent="0.3">
      <c r="A196" s="311"/>
      <c r="B196" s="312"/>
      <c r="C196" s="78" t="s">
        <v>77</v>
      </c>
      <c r="D196" s="300"/>
      <c r="E196" s="332"/>
      <c r="F196" s="43"/>
      <c r="G196" s="43"/>
      <c r="H196" s="36" t="s">
        <v>76</v>
      </c>
      <c r="I196" s="36" t="s">
        <v>76</v>
      </c>
      <c r="L196" s="65" t="str">
        <f>IFERROR(H196-'Nátok z PRDS'!H196,"N/A")</f>
        <v>N/A</v>
      </c>
    </row>
    <row r="197" spans="1:12" ht="15" customHeight="1" x14ac:dyDescent="0.3">
      <c r="A197" s="311"/>
      <c r="B197" s="312"/>
      <c r="C197" s="78" t="s">
        <v>78</v>
      </c>
      <c r="D197" s="300"/>
      <c r="E197" s="332"/>
      <c r="F197" s="36">
        <f>+F195+F196</f>
        <v>0</v>
      </c>
      <c r="G197" s="36">
        <f t="shared" ref="G197" si="59">+G195+G196</f>
        <v>0</v>
      </c>
      <c r="H197" s="36">
        <f>+G197-F197</f>
        <v>0</v>
      </c>
      <c r="I197" s="48">
        <f>ROUND(IF(H197&gt;0,H197*E195,0),4)</f>
        <v>0</v>
      </c>
      <c r="L197" s="65">
        <f>IFERROR(H197-'Nátok z PRDS'!H197,"N/A")</f>
        <v>0</v>
      </c>
    </row>
    <row r="198" spans="1:12" ht="15" customHeight="1" x14ac:dyDescent="0.3">
      <c r="A198" s="299" t="s">
        <v>119</v>
      </c>
      <c r="B198" s="300" t="s">
        <v>145</v>
      </c>
      <c r="C198" s="77" t="s">
        <v>74</v>
      </c>
      <c r="D198" s="300" t="s">
        <v>75</v>
      </c>
      <c r="E198" s="330"/>
      <c r="F198" s="39"/>
      <c r="G198" s="39"/>
      <c r="H198" s="35" t="s">
        <v>76</v>
      </c>
      <c r="I198" s="35" t="s">
        <v>76</v>
      </c>
      <c r="L198" s="65" t="str">
        <f>IFERROR(H198-'Nátok z PRDS'!H198,"N/A")</f>
        <v>N/A</v>
      </c>
    </row>
    <row r="199" spans="1:12" ht="15" customHeight="1" x14ac:dyDescent="0.3">
      <c r="A199" s="299"/>
      <c r="B199" s="300"/>
      <c r="C199" s="77" t="s">
        <v>77</v>
      </c>
      <c r="D199" s="300"/>
      <c r="E199" s="330"/>
      <c r="F199" s="39"/>
      <c r="G199" s="39"/>
      <c r="H199" s="35" t="s">
        <v>76</v>
      </c>
      <c r="I199" s="35" t="s">
        <v>76</v>
      </c>
      <c r="L199" s="65" t="str">
        <f>IFERROR(H199-'Nátok z PRDS'!H199,"N/A")</f>
        <v>N/A</v>
      </c>
    </row>
    <row r="200" spans="1:12" ht="15" customHeight="1" x14ac:dyDescent="0.3">
      <c r="A200" s="299"/>
      <c r="B200" s="300"/>
      <c r="C200" s="77" t="s">
        <v>78</v>
      </c>
      <c r="D200" s="300"/>
      <c r="E200" s="330"/>
      <c r="F200" s="35">
        <f>+F198+F199</f>
        <v>0</v>
      </c>
      <c r="G200" s="35">
        <f t="shared" ref="G200" si="60">+G198+G199</f>
        <v>0</v>
      </c>
      <c r="H200" s="35">
        <f>+G200-F200</f>
        <v>0</v>
      </c>
      <c r="I200" s="47">
        <f>+ROUND(IF(H200&gt;0,H200*E198,0),4)</f>
        <v>0</v>
      </c>
      <c r="L200" s="65">
        <f>IFERROR(H200-'Nátok z PRDS'!H200,"N/A")</f>
        <v>0</v>
      </c>
    </row>
    <row r="201" spans="1:12" x14ac:dyDescent="0.3">
      <c r="A201" s="314" t="s">
        <v>119</v>
      </c>
      <c r="B201" s="315" t="s">
        <v>103</v>
      </c>
      <c r="C201" s="103" t="s">
        <v>73</v>
      </c>
      <c r="D201" s="161" t="s">
        <v>76</v>
      </c>
      <c r="E201" s="111" t="s">
        <v>76</v>
      </c>
      <c r="F201" s="49" t="s">
        <v>76</v>
      </c>
      <c r="G201" s="49" t="s">
        <v>76</v>
      </c>
      <c r="H201" s="49" t="s">
        <v>76</v>
      </c>
      <c r="I201" s="49">
        <f>+SUM(I171:I180,I190,I194)</f>
        <v>0</v>
      </c>
      <c r="L201" s="65" t="str">
        <f>IFERROR(H201-'Nátok z PRDS'!H201,"N/A")</f>
        <v>N/A</v>
      </c>
    </row>
    <row r="202" spans="1:12" x14ac:dyDescent="0.3">
      <c r="A202" s="314"/>
      <c r="B202" s="315"/>
      <c r="C202" s="103" t="s">
        <v>78</v>
      </c>
      <c r="D202" s="33" t="s">
        <v>75</v>
      </c>
      <c r="E202" s="111">
        <f>+E181+E184+E187+E191+E198+E195</f>
        <v>0</v>
      </c>
      <c r="F202" s="49" t="s">
        <v>76</v>
      </c>
      <c r="G202" s="49" t="s">
        <v>76</v>
      </c>
      <c r="H202" s="49" t="s">
        <v>76</v>
      </c>
      <c r="I202" s="49">
        <f>+I183+I186+I189+I193+I200+I197</f>
        <v>0</v>
      </c>
      <c r="L202" s="65" t="str">
        <f>IFERROR(H202-'Nátok z PRDS'!H202,"N/A")</f>
        <v>N/A</v>
      </c>
    </row>
    <row r="203" spans="1:12" ht="15" customHeight="1" x14ac:dyDescent="0.3">
      <c r="A203" s="300" t="s">
        <v>146</v>
      </c>
      <c r="B203" s="300" t="s">
        <v>147</v>
      </c>
      <c r="C203" s="79" t="s">
        <v>127</v>
      </c>
      <c r="D203" s="163" t="s">
        <v>130</v>
      </c>
      <c r="E203" s="61"/>
      <c r="F203" s="39">
        <v>4689.6000000000004</v>
      </c>
      <c r="G203" s="39">
        <v>4826.6000000000004</v>
      </c>
      <c r="H203" s="35">
        <f t="shared" ref="H203:H211" si="61">+G203-F203</f>
        <v>137</v>
      </c>
      <c r="I203" s="47">
        <f t="shared" ref="I203:I211" si="62">+ROUND(IF(H203&gt;0,H203*E203,0),4)</f>
        <v>0</v>
      </c>
      <c r="L203" s="65">
        <f>IFERROR(H203-'Nátok z PRDS'!H203,"N/A")</f>
        <v>137</v>
      </c>
    </row>
    <row r="204" spans="1:12" ht="15" customHeight="1" x14ac:dyDescent="0.3">
      <c r="A204" s="300"/>
      <c r="B204" s="300"/>
      <c r="C204" s="79" t="s">
        <v>128</v>
      </c>
      <c r="D204" s="163" t="s">
        <v>130</v>
      </c>
      <c r="E204" s="61"/>
      <c r="F204" s="39">
        <v>4019.6</v>
      </c>
      <c r="G204" s="39">
        <v>4137.1000000000004</v>
      </c>
      <c r="H204" s="35">
        <f t="shared" si="61"/>
        <v>117.50000000000045</v>
      </c>
      <c r="I204" s="47">
        <f t="shared" si="62"/>
        <v>0</v>
      </c>
      <c r="L204" s="65">
        <f>IFERROR(H204-'Nátok z PRDS'!H204,"N/A")</f>
        <v>117.50000000000045</v>
      </c>
    </row>
    <row r="205" spans="1:12" ht="15" customHeight="1" x14ac:dyDescent="0.3">
      <c r="A205" s="300"/>
      <c r="B205" s="300"/>
      <c r="C205" s="79" t="s">
        <v>129</v>
      </c>
      <c r="D205" s="163" t="s">
        <v>130</v>
      </c>
      <c r="E205" s="61"/>
      <c r="F205" s="39">
        <v>3349.7</v>
      </c>
      <c r="G205" s="39">
        <v>3447.6</v>
      </c>
      <c r="H205" s="35">
        <f t="shared" si="61"/>
        <v>97.900000000000091</v>
      </c>
      <c r="I205" s="47">
        <f t="shared" si="62"/>
        <v>0</v>
      </c>
      <c r="L205" s="65">
        <f>IFERROR(H205-'Nátok z PRDS'!H205,"N/A")</f>
        <v>97.900000000000091</v>
      </c>
    </row>
    <row r="206" spans="1:12" ht="24" customHeight="1" x14ac:dyDescent="0.3">
      <c r="A206" s="300"/>
      <c r="B206" s="300"/>
      <c r="C206" s="79" t="s">
        <v>148</v>
      </c>
      <c r="D206" s="163" t="s">
        <v>130</v>
      </c>
      <c r="E206" s="61"/>
      <c r="F206" s="39">
        <v>703.44</v>
      </c>
      <c r="G206" s="39">
        <v>723.99</v>
      </c>
      <c r="H206" s="35">
        <f t="shared" si="61"/>
        <v>20.549999999999955</v>
      </c>
      <c r="I206" s="47">
        <f t="shared" si="62"/>
        <v>0</v>
      </c>
      <c r="L206" s="65">
        <f>IFERROR(H206-'Nátok z PRDS'!H206,"N/A")</f>
        <v>20.549999999999955</v>
      </c>
    </row>
    <row r="207" spans="1:12" ht="24" customHeight="1" x14ac:dyDescent="0.3">
      <c r="A207" s="300"/>
      <c r="B207" s="300"/>
      <c r="C207" s="79" t="s">
        <v>149</v>
      </c>
      <c r="D207" s="163" t="s">
        <v>130</v>
      </c>
      <c r="E207" s="61"/>
      <c r="F207" s="39">
        <v>602.94000000000005</v>
      </c>
      <c r="G207" s="39">
        <v>620.57000000000005</v>
      </c>
      <c r="H207" s="35">
        <f t="shared" si="61"/>
        <v>17.629999999999995</v>
      </c>
      <c r="I207" s="47">
        <f t="shared" si="62"/>
        <v>0</v>
      </c>
      <c r="L207" s="65">
        <f>IFERROR(H207-'Nátok z PRDS'!H207,"N/A")</f>
        <v>17.629999999999995</v>
      </c>
    </row>
    <row r="208" spans="1:12" ht="24" customHeight="1" x14ac:dyDescent="0.3">
      <c r="A208" s="300"/>
      <c r="B208" s="300"/>
      <c r="C208" s="79" t="s">
        <v>150</v>
      </c>
      <c r="D208" s="163" t="s">
        <v>130</v>
      </c>
      <c r="E208" s="61"/>
      <c r="F208" s="39">
        <v>502.46</v>
      </c>
      <c r="G208" s="39">
        <v>517.14</v>
      </c>
      <c r="H208" s="35">
        <f t="shared" si="61"/>
        <v>14.680000000000007</v>
      </c>
      <c r="I208" s="47">
        <f t="shared" si="62"/>
        <v>0</v>
      </c>
      <c r="L208" s="65">
        <f>IFERROR(H208-'Nátok z PRDS'!H208,"N/A")</f>
        <v>14.680000000000007</v>
      </c>
    </row>
    <row r="209" spans="1:12" ht="15" customHeight="1" x14ac:dyDescent="0.3">
      <c r="A209" s="300"/>
      <c r="B209" s="300"/>
      <c r="C209" s="79" t="s">
        <v>151</v>
      </c>
      <c r="D209" s="163" t="s">
        <v>130</v>
      </c>
      <c r="E209" s="61"/>
      <c r="F209" s="39">
        <v>351.72</v>
      </c>
      <c r="G209" s="39">
        <v>362</v>
      </c>
      <c r="H209" s="35">
        <f t="shared" si="61"/>
        <v>10.279999999999973</v>
      </c>
      <c r="I209" s="47">
        <f t="shared" si="62"/>
        <v>0</v>
      </c>
      <c r="L209" s="65">
        <f>IFERROR(H209-'Nátok z PRDS'!H209,"N/A")</f>
        <v>10.279999999999973</v>
      </c>
    </row>
    <row r="210" spans="1:12" ht="15" customHeight="1" x14ac:dyDescent="0.3">
      <c r="A210" s="300"/>
      <c r="B210" s="300"/>
      <c r="C210" s="79" t="s">
        <v>152</v>
      </c>
      <c r="D210" s="163" t="s">
        <v>130</v>
      </c>
      <c r="E210" s="61"/>
      <c r="F210" s="39">
        <v>301.47000000000003</v>
      </c>
      <c r="G210" s="39">
        <v>310.27999999999997</v>
      </c>
      <c r="H210" s="35">
        <f t="shared" si="61"/>
        <v>8.8099999999999454</v>
      </c>
      <c r="I210" s="47">
        <f t="shared" si="62"/>
        <v>0</v>
      </c>
      <c r="L210" s="65">
        <f>IFERROR(H210-'Nátok z PRDS'!H210,"N/A")</f>
        <v>8.8099999999999454</v>
      </c>
    </row>
    <row r="211" spans="1:12" ht="15" customHeight="1" x14ac:dyDescent="0.3">
      <c r="A211" s="300"/>
      <c r="B211" s="300"/>
      <c r="C211" s="79" t="s">
        <v>153</v>
      </c>
      <c r="D211" s="163" t="s">
        <v>130</v>
      </c>
      <c r="E211" s="61"/>
      <c r="F211" s="39">
        <v>251.23</v>
      </c>
      <c r="G211" s="39">
        <v>258.57</v>
      </c>
      <c r="H211" s="35">
        <f t="shared" si="61"/>
        <v>7.3400000000000034</v>
      </c>
      <c r="I211" s="47">
        <f t="shared" si="62"/>
        <v>0</v>
      </c>
      <c r="L211" s="65">
        <f>IFERROR(H211-'Nátok z PRDS'!H211,"N/A")</f>
        <v>7.3400000000000034</v>
      </c>
    </row>
    <row r="212" spans="1:12" ht="15" customHeight="1" x14ac:dyDescent="0.3">
      <c r="A212" s="300"/>
      <c r="B212" s="300"/>
      <c r="C212" s="77" t="s">
        <v>74</v>
      </c>
      <c r="D212" s="300" t="s">
        <v>75</v>
      </c>
      <c r="E212" s="329"/>
      <c r="F212" s="39">
        <v>5.7</v>
      </c>
      <c r="G212" s="39">
        <v>5.67</v>
      </c>
      <c r="H212" s="35" t="s">
        <v>76</v>
      </c>
      <c r="I212" s="35" t="s">
        <v>76</v>
      </c>
      <c r="L212" s="65" t="str">
        <f>IFERROR(H212-'Nátok z PRDS'!H212,"N/A")</f>
        <v>N/A</v>
      </c>
    </row>
    <row r="213" spans="1:12" ht="15" customHeight="1" x14ac:dyDescent="0.3">
      <c r="A213" s="300"/>
      <c r="B213" s="300"/>
      <c r="C213" s="77" t="s">
        <v>77</v>
      </c>
      <c r="D213" s="300"/>
      <c r="E213" s="329"/>
      <c r="F213" s="39">
        <v>1.831</v>
      </c>
      <c r="G213" s="39">
        <v>3.34</v>
      </c>
      <c r="H213" s="35" t="s">
        <v>76</v>
      </c>
      <c r="I213" s="35" t="s">
        <v>76</v>
      </c>
      <c r="L213" s="65" t="str">
        <f>IFERROR(H213-'Nátok z PRDS'!H213,"N/A")</f>
        <v>N/A</v>
      </c>
    </row>
    <row r="214" spans="1:12" ht="15" customHeight="1" x14ac:dyDescent="0.3">
      <c r="A214" s="300"/>
      <c r="B214" s="300"/>
      <c r="C214" s="77" t="s">
        <v>78</v>
      </c>
      <c r="D214" s="300"/>
      <c r="E214" s="329"/>
      <c r="F214" s="35">
        <f>+F212+F213</f>
        <v>7.5310000000000006</v>
      </c>
      <c r="G214" s="35">
        <f t="shared" ref="G214" si="63">+G212+G213</f>
        <v>9.01</v>
      </c>
      <c r="H214" s="35">
        <f>+G214-F214</f>
        <v>1.4789999999999992</v>
      </c>
      <c r="I214" s="47">
        <f>+ROUND(IF(H214&gt;0,H214*E212,0),4)</f>
        <v>0</v>
      </c>
      <c r="L214" s="65">
        <f>IFERROR(H214-'Nátok z PRDS'!H214,"N/A")</f>
        <v>1.4789999999999992</v>
      </c>
    </row>
    <row r="215" spans="1:12" ht="15" customHeight="1" x14ac:dyDescent="0.3">
      <c r="A215" s="300"/>
      <c r="B215" s="300"/>
      <c r="C215" s="77" t="s">
        <v>138</v>
      </c>
      <c r="D215" s="300" t="s">
        <v>75</v>
      </c>
      <c r="E215" s="329"/>
      <c r="F215" s="39">
        <v>5.7</v>
      </c>
      <c r="G215" s="39">
        <v>5.39</v>
      </c>
      <c r="H215" s="35" t="s">
        <v>76</v>
      </c>
      <c r="I215" s="35" t="s">
        <v>76</v>
      </c>
      <c r="L215" s="65" t="str">
        <f>IFERROR(H215-'Nátok z PRDS'!H215,"N/A")</f>
        <v>N/A</v>
      </c>
    </row>
    <row r="216" spans="1:12" ht="15" customHeight="1" x14ac:dyDescent="0.3">
      <c r="A216" s="300"/>
      <c r="B216" s="300"/>
      <c r="C216" s="77" t="s">
        <v>77</v>
      </c>
      <c r="D216" s="300"/>
      <c r="E216" s="329"/>
      <c r="F216" s="39">
        <v>1.831</v>
      </c>
      <c r="G216" s="39">
        <v>3.34</v>
      </c>
      <c r="H216" s="35" t="s">
        <v>76</v>
      </c>
      <c r="I216" s="35" t="s">
        <v>76</v>
      </c>
      <c r="L216" s="65" t="str">
        <f>IFERROR(H216-'Nátok z PRDS'!H216,"N/A")</f>
        <v>N/A</v>
      </c>
    </row>
    <row r="217" spans="1:12" ht="15" customHeight="1" x14ac:dyDescent="0.3">
      <c r="A217" s="300"/>
      <c r="B217" s="300"/>
      <c r="C217" s="79" t="s">
        <v>139</v>
      </c>
      <c r="D217" s="300"/>
      <c r="E217" s="329"/>
      <c r="F217" s="35">
        <f>+F215+F216</f>
        <v>7.5310000000000006</v>
      </c>
      <c r="G217" s="35">
        <f t="shared" ref="G217" si="64">+G215+G216</f>
        <v>8.73</v>
      </c>
      <c r="H217" s="35">
        <f>+G217-F217</f>
        <v>1.1989999999999998</v>
      </c>
      <c r="I217" s="47">
        <f>+ROUND(IF(H217&gt;0,H217*E215,0),4)</f>
        <v>0</v>
      </c>
      <c r="L217" s="65">
        <f>IFERROR(H217-'Nátok z PRDS'!H217,"N/A")</f>
        <v>1.1989999999999998</v>
      </c>
    </row>
    <row r="218" spans="1:12" ht="15" customHeight="1" x14ac:dyDescent="0.3">
      <c r="A218" s="300"/>
      <c r="B218" s="300"/>
      <c r="C218" s="77" t="s">
        <v>140</v>
      </c>
      <c r="D218" s="300" t="s">
        <v>75</v>
      </c>
      <c r="E218" s="329"/>
      <c r="F218" s="39">
        <v>5.7</v>
      </c>
      <c r="G218" s="39">
        <v>5.0999999999999996</v>
      </c>
      <c r="H218" s="35" t="s">
        <v>76</v>
      </c>
      <c r="I218" s="35" t="s">
        <v>76</v>
      </c>
      <c r="L218" s="65" t="str">
        <f>IFERROR(H218-'Nátok z PRDS'!H218,"N/A")</f>
        <v>N/A</v>
      </c>
    </row>
    <row r="219" spans="1:12" ht="15" customHeight="1" x14ac:dyDescent="0.3">
      <c r="A219" s="300"/>
      <c r="B219" s="300"/>
      <c r="C219" s="77" t="s">
        <v>77</v>
      </c>
      <c r="D219" s="300"/>
      <c r="E219" s="329"/>
      <c r="F219" s="39">
        <v>1.831</v>
      </c>
      <c r="G219" s="39">
        <v>3.34</v>
      </c>
      <c r="H219" s="35" t="s">
        <v>76</v>
      </c>
      <c r="I219" s="35" t="s">
        <v>76</v>
      </c>
      <c r="L219" s="65" t="str">
        <f>IFERROR(H219-'Nátok z PRDS'!H219,"N/A")</f>
        <v>N/A</v>
      </c>
    </row>
    <row r="220" spans="1:12" ht="15" customHeight="1" x14ac:dyDescent="0.3">
      <c r="A220" s="300"/>
      <c r="B220" s="300"/>
      <c r="C220" s="79" t="s">
        <v>141</v>
      </c>
      <c r="D220" s="300"/>
      <c r="E220" s="329"/>
      <c r="F220" s="35">
        <f>+F218+F219</f>
        <v>7.5310000000000006</v>
      </c>
      <c r="G220" s="35">
        <f t="shared" ref="G220" si="65">+G218+G219</f>
        <v>8.44</v>
      </c>
      <c r="H220" s="35">
        <f>+G220-F220</f>
        <v>0.90899999999999892</v>
      </c>
      <c r="I220" s="47">
        <f>+ROUND(IF(H220&gt;0,H220*E218,0),4)</f>
        <v>0</v>
      </c>
      <c r="L220" s="65">
        <f>IFERROR(H220-'Nátok z PRDS'!H220,"N/A")</f>
        <v>0.90899999999999892</v>
      </c>
    </row>
    <row r="221" spans="1:12" x14ac:dyDescent="0.3">
      <c r="A221" s="314" t="s">
        <v>146</v>
      </c>
      <c r="B221" s="315" t="s">
        <v>103</v>
      </c>
      <c r="C221" s="103" t="s">
        <v>73</v>
      </c>
      <c r="D221" s="161" t="s">
        <v>76</v>
      </c>
      <c r="E221" s="49" t="s">
        <v>76</v>
      </c>
      <c r="F221" s="49" t="s">
        <v>76</v>
      </c>
      <c r="G221" s="49" t="s">
        <v>76</v>
      </c>
      <c r="H221" s="49" t="s">
        <v>76</v>
      </c>
      <c r="I221" s="90">
        <f>+SUM(I203:I211)</f>
        <v>0</v>
      </c>
      <c r="K221" s="66" t="s">
        <v>188</v>
      </c>
      <c r="L221" s="68">
        <f>SUM(L5:L220)</f>
        <v>1414.8493999999996</v>
      </c>
    </row>
    <row r="222" spans="1:12" ht="15" thickBot="1" x14ac:dyDescent="0.35">
      <c r="A222" s="314"/>
      <c r="B222" s="315"/>
      <c r="C222" s="104" t="s">
        <v>78</v>
      </c>
      <c r="D222" s="150" t="s">
        <v>75</v>
      </c>
      <c r="E222" s="89">
        <f>+E212+E215+E218</f>
        <v>0</v>
      </c>
      <c r="F222" s="89" t="s">
        <v>76</v>
      </c>
      <c r="G222" s="89" t="s">
        <v>76</v>
      </c>
      <c r="H222" s="89" t="s">
        <v>76</v>
      </c>
      <c r="I222" s="91">
        <f>+I214+I217+I220</f>
        <v>0</v>
      </c>
    </row>
    <row r="223" spans="1:12" ht="15.75" customHeight="1" thickBot="1" x14ac:dyDescent="0.35">
      <c r="A223" s="74"/>
      <c r="B223" s="99"/>
      <c r="C223" s="81" t="s">
        <v>155</v>
      </c>
      <c r="D223" s="86"/>
      <c r="E223" s="52" t="s">
        <v>76</v>
      </c>
      <c r="F223" s="52" t="s">
        <v>76</v>
      </c>
      <c r="G223" s="52" t="s">
        <v>76</v>
      </c>
      <c r="H223" s="52" t="s">
        <v>76</v>
      </c>
      <c r="I223" s="53">
        <f>ROUND(SUM(I77:I78,I169:I170,I201:I202,I221:I222),4)</f>
        <v>0</v>
      </c>
    </row>
    <row r="224" spans="1:12" ht="15.75" customHeight="1" thickBot="1" x14ac:dyDescent="0.35">
      <c r="A224" s="74"/>
      <c r="B224" s="99"/>
      <c r="C224" s="82" t="s">
        <v>156</v>
      </c>
      <c r="D224" s="87"/>
      <c r="E224" s="50" t="s">
        <v>76</v>
      </c>
      <c r="F224" s="50" t="s">
        <v>76</v>
      </c>
      <c r="G224" s="50" t="s">
        <v>76</v>
      </c>
      <c r="H224" s="50" t="s">
        <v>76</v>
      </c>
      <c r="I224" s="51">
        <f>ROUND(I225-I223,4)</f>
        <v>0</v>
      </c>
    </row>
    <row r="225" spans="1:9" ht="16.5" customHeight="1" thickBot="1" x14ac:dyDescent="0.35">
      <c r="A225" s="74"/>
      <c r="B225" s="99"/>
      <c r="C225" s="83" t="s">
        <v>159</v>
      </c>
      <c r="D225" s="88"/>
      <c r="E225" s="56" t="s">
        <v>76</v>
      </c>
      <c r="F225" s="56" t="s">
        <v>76</v>
      </c>
      <c r="G225" s="56" t="s">
        <v>76</v>
      </c>
      <c r="H225" s="56" t="s">
        <v>76</v>
      </c>
      <c r="I225" s="57">
        <f>+ROUND(I223*1.2,4)</f>
        <v>0</v>
      </c>
    </row>
  </sheetData>
  <sheetProtection sheet="1" selectLockedCells="1"/>
  <mergeCells count="169">
    <mergeCell ref="A1:I1"/>
    <mergeCell ref="A2:A4"/>
    <mergeCell ref="B2:B4"/>
    <mergeCell ref="C2:C4"/>
    <mergeCell ref="D2:D4"/>
    <mergeCell ref="A5:A8"/>
    <mergeCell ref="B5:B8"/>
    <mergeCell ref="D6:D8"/>
    <mergeCell ref="E6:E8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A29:A35"/>
    <mergeCell ref="B29:B35"/>
    <mergeCell ref="D30:D32"/>
    <mergeCell ref="E30:E32"/>
    <mergeCell ref="D33:D35"/>
    <mergeCell ref="E33:E35"/>
    <mergeCell ref="A21:A28"/>
    <mergeCell ref="B21:B28"/>
    <mergeCell ref="D23:D25"/>
    <mergeCell ref="E23:E25"/>
    <mergeCell ref="D26:D28"/>
    <mergeCell ref="E26:E28"/>
    <mergeCell ref="A43:A49"/>
    <mergeCell ref="B43:B49"/>
    <mergeCell ref="D44:D46"/>
    <mergeCell ref="E44:E46"/>
    <mergeCell ref="D47:D49"/>
    <mergeCell ref="E47:E49"/>
    <mergeCell ref="A36:A42"/>
    <mergeCell ref="B36:B42"/>
    <mergeCell ref="D37:D39"/>
    <mergeCell ref="E37:E39"/>
    <mergeCell ref="D40:D42"/>
    <mergeCell ref="E40:E42"/>
    <mergeCell ref="A57:A63"/>
    <mergeCell ref="B57:B63"/>
    <mergeCell ref="D58:D60"/>
    <mergeCell ref="E58:E60"/>
    <mergeCell ref="D61:D63"/>
    <mergeCell ref="E61:E63"/>
    <mergeCell ref="A50:A56"/>
    <mergeCell ref="B50:B56"/>
    <mergeCell ref="D51:D53"/>
    <mergeCell ref="E51:E53"/>
    <mergeCell ref="D54:D56"/>
    <mergeCell ref="E54:E56"/>
    <mergeCell ref="A64:A76"/>
    <mergeCell ref="B64:B76"/>
    <mergeCell ref="D65:D67"/>
    <mergeCell ref="E65:E67"/>
    <mergeCell ref="D68:D70"/>
    <mergeCell ref="E68:E70"/>
    <mergeCell ref="D71:D73"/>
    <mergeCell ref="E71:E73"/>
    <mergeCell ref="D74:D76"/>
    <mergeCell ref="E74:E76"/>
    <mergeCell ref="A84:A88"/>
    <mergeCell ref="B84:B88"/>
    <mergeCell ref="D86:D88"/>
    <mergeCell ref="E86:E88"/>
    <mergeCell ref="A89:A93"/>
    <mergeCell ref="B89:B93"/>
    <mergeCell ref="D91:D93"/>
    <mergeCell ref="E91:E93"/>
    <mergeCell ref="A77:A78"/>
    <mergeCell ref="B77:B78"/>
    <mergeCell ref="A79:A83"/>
    <mergeCell ref="B79:B83"/>
    <mergeCell ref="D81:D83"/>
    <mergeCell ref="E81:E83"/>
    <mergeCell ref="A102:A109"/>
    <mergeCell ref="B102:B109"/>
    <mergeCell ref="D104:D106"/>
    <mergeCell ref="E104:E106"/>
    <mergeCell ref="D107:D109"/>
    <mergeCell ref="E107:E109"/>
    <mergeCell ref="A94:A101"/>
    <mergeCell ref="B94:B101"/>
    <mergeCell ref="D96:D98"/>
    <mergeCell ref="E96:E98"/>
    <mergeCell ref="D99:D101"/>
    <mergeCell ref="E99:E101"/>
    <mergeCell ref="A118:A125"/>
    <mergeCell ref="B118:B125"/>
    <mergeCell ref="D120:D122"/>
    <mergeCell ref="E120:E122"/>
    <mergeCell ref="D123:D125"/>
    <mergeCell ref="E123:E125"/>
    <mergeCell ref="A110:A117"/>
    <mergeCell ref="B110:B117"/>
    <mergeCell ref="D112:D114"/>
    <mergeCell ref="E112:E114"/>
    <mergeCell ref="D115:D117"/>
    <mergeCell ref="E115:E117"/>
    <mergeCell ref="A134:A135"/>
    <mergeCell ref="B134:B135"/>
    <mergeCell ref="A136:A140"/>
    <mergeCell ref="B136:B140"/>
    <mergeCell ref="D138:D140"/>
    <mergeCell ref="E138:E140"/>
    <mergeCell ref="A126:A133"/>
    <mergeCell ref="B126:B133"/>
    <mergeCell ref="D128:D130"/>
    <mergeCell ref="E128:E130"/>
    <mergeCell ref="D131:D133"/>
    <mergeCell ref="E131:E133"/>
    <mergeCell ref="A141:A146"/>
    <mergeCell ref="B141:B146"/>
    <mergeCell ref="D144:D146"/>
    <mergeCell ref="E144:E146"/>
    <mergeCell ref="A147:A154"/>
    <mergeCell ref="B147:B154"/>
    <mergeCell ref="D149:D151"/>
    <mergeCell ref="E149:E151"/>
    <mergeCell ref="D152:D154"/>
    <mergeCell ref="E152:E154"/>
    <mergeCell ref="A155:A168"/>
    <mergeCell ref="B155:B168"/>
    <mergeCell ref="D157:D159"/>
    <mergeCell ref="E157:E159"/>
    <mergeCell ref="D160:D162"/>
    <mergeCell ref="E160:E162"/>
    <mergeCell ref="D163:D165"/>
    <mergeCell ref="E163:E165"/>
    <mergeCell ref="D166:D168"/>
    <mergeCell ref="E166:E168"/>
    <mergeCell ref="A169:A170"/>
    <mergeCell ref="B169:B17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A198:A200"/>
    <mergeCell ref="B198:B200"/>
    <mergeCell ref="D198:D200"/>
    <mergeCell ref="E198:E200"/>
    <mergeCell ref="A201:A202"/>
    <mergeCell ref="B201:B202"/>
    <mergeCell ref="A190:A193"/>
    <mergeCell ref="B190:B193"/>
    <mergeCell ref="D191:D193"/>
    <mergeCell ref="E191:E193"/>
    <mergeCell ref="A194:A197"/>
    <mergeCell ref="B194:B197"/>
    <mergeCell ref="D195:D197"/>
    <mergeCell ref="E195:E197"/>
    <mergeCell ref="A221:A222"/>
    <mergeCell ref="B221:B222"/>
    <mergeCell ref="A203:A220"/>
    <mergeCell ref="B203:B220"/>
    <mergeCell ref="D212:D214"/>
    <mergeCell ref="E212:E214"/>
    <mergeCell ref="D215:D217"/>
    <mergeCell ref="E215:E217"/>
    <mergeCell ref="D218:D220"/>
    <mergeCell ref="E218:E220"/>
  </mergeCells>
  <pageMargins left="0.7" right="0.7" top="0.75" bottom="0.75" header="0.3" footer="0.3"/>
  <pageSetup paperSize="9" orientation="portrait" r:id="rId1"/>
  <headerFooter>
    <oddHeader>&amp;L&amp;"Calibri"&amp;12&amp;K000000         INTERNÉ&amp;1#_x000D_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25"/>
  <sheetViews>
    <sheetView zoomScale="85" zoomScaleNormal="85" workbookViewId="0">
      <selection activeCell="A2" sqref="A2:A4"/>
    </sheetView>
  </sheetViews>
  <sheetFormatPr defaultRowHeight="14.4" x14ac:dyDescent="0.3"/>
  <cols>
    <col min="1" max="1" width="38.33203125" style="113" customWidth="1"/>
    <col min="2" max="2" width="10.44140625" style="113" customWidth="1"/>
    <col min="3" max="3" width="53.88671875" style="113" customWidth="1"/>
    <col min="4" max="4" width="5.6640625" style="113" customWidth="1"/>
    <col min="5" max="5" width="28.5546875" style="113" customWidth="1"/>
    <col min="6" max="7" width="21.44140625" style="113" customWidth="1"/>
    <col min="8" max="9" width="21.44140625" customWidth="1"/>
    <col min="11" max="11" width="0" hidden="1" customWidth="1"/>
    <col min="12" max="12" width="45.109375" hidden="1" customWidth="1"/>
  </cols>
  <sheetData>
    <row r="1" spans="1:12" ht="19.8" x14ac:dyDescent="0.3">
      <c r="A1" s="327" t="s">
        <v>288</v>
      </c>
      <c r="B1" s="327"/>
      <c r="C1" s="327"/>
      <c r="D1" s="327"/>
      <c r="E1" s="327"/>
      <c r="F1" s="327"/>
      <c r="G1" s="327"/>
      <c r="H1" s="327"/>
      <c r="I1" s="328"/>
      <c r="K1" s="69" t="s">
        <v>182</v>
      </c>
      <c r="L1" s="69" t="s">
        <v>183</v>
      </c>
    </row>
    <row r="2" spans="1:12" ht="36" x14ac:dyDescent="0.3">
      <c r="A2" s="340" t="s">
        <v>292</v>
      </c>
      <c r="B2" s="300" t="s">
        <v>59</v>
      </c>
      <c r="C2" s="300" t="s">
        <v>60</v>
      </c>
      <c r="D2" s="333" t="s">
        <v>61</v>
      </c>
      <c r="E2" s="33" t="s">
        <v>62</v>
      </c>
      <c r="F2" s="112" t="s">
        <v>184</v>
      </c>
      <c r="G2" s="112" t="s">
        <v>185</v>
      </c>
      <c r="H2" s="33" t="s">
        <v>186</v>
      </c>
      <c r="I2" s="45" t="s">
        <v>191</v>
      </c>
    </row>
    <row r="3" spans="1:12" x14ac:dyDescent="0.3">
      <c r="A3" s="340"/>
      <c r="B3" s="300"/>
      <c r="C3" s="300"/>
      <c r="D3" s="333"/>
      <c r="E3" s="37" t="s">
        <v>63</v>
      </c>
      <c r="F3" s="34" t="s">
        <v>64</v>
      </c>
      <c r="G3" s="34" t="s">
        <v>64</v>
      </c>
      <c r="H3" s="34" t="s">
        <v>64</v>
      </c>
      <c r="I3" s="46" t="s">
        <v>65</v>
      </c>
    </row>
    <row r="4" spans="1:12" x14ac:dyDescent="0.3">
      <c r="A4" s="340"/>
      <c r="B4" s="300"/>
      <c r="C4" s="300"/>
      <c r="D4" s="333"/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</row>
    <row r="5" spans="1:12" x14ac:dyDescent="0.3">
      <c r="A5" s="299" t="s">
        <v>71</v>
      </c>
      <c r="B5" s="300" t="s">
        <v>72</v>
      </c>
      <c r="C5" s="77" t="s">
        <v>73</v>
      </c>
      <c r="D5" s="114"/>
      <c r="E5" s="58"/>
      <c r="F5" s="39">
        <v>1.3</v>
      </c>
      <c r="G5" s="39">
        <v>1.59</v>
      </c>
      <c r="H5" s="35">
        <f>+G5-F5</f>
        <v>0.29000000000000004</v>
      </c>
      <c r="I5" s="47">
        <f>+ROUND(IF(H5&gt;0,H5*E5,0),4)</f>
        <v>0</v>
      </c>
      <c r="L5" s="65">
        <f>IFERROR(H5-'Nátok z PRDS'!H5,"N/A")</f>
        <v>0.29000000000000004</v>
      </c>
    </row>
    <row r="6" spans="1:12" x14ac:dyDescent="0.3">
      <c r="A6" s="299"/>
      <c r="B6" s="300"/>
      <c r="C6" s="77" t="s">
        <v>74</v>
      </c>
      <c r="D6" s="300" t="s">
        <v>75</v>
      </c>
      <c r="E6" s="319"/>
      <c r="F6" s="39">
        <v>47</v>
      </c>
      <c r="G6" s="39">
        <v>51.8</v>
      </c>
      <c r="H6" s="35" t="s">
        <v>76</v>
      </c>
      <c r="I6" s="35" t="s">
        <v>76</v>
      </c>
      <c r="L6" s="65" t="str">
        <f>IFERROR(H6-'Nátok z PRDS'!H6,"N/A")</f>
        <v>N/A</v>
      </c>
    </row>
    <row r="7" spans="1:12" x14ac:dyDescent="0.3">
      <c r="A7" s="299"/>
      <c r="B7" s="300"/>
      <c r="C7" s="77" t="s">
        <v>77</v>
      </c>
      <c r="D7" s="300"/>
      <c r="E7" s="320"/>
      <c r="F7" s="39">
        <v>12.413</v>
      </c>
      <c r="G7" s="39">
        <v>16.244</v>
      </c>
      <c r="H7" s="35" t="s">
        <v>76</v>
      </c>
      <c r="I7" s="35" t="s">
        <v>76</v>
      </c>
      <c r="L7" s="65" t="str">
        <f>IFERROR(H7-'Nátok z PRDS'!H7,"N/A")</f>
        <v>N/A</v>
      </c>
    </row>
    <row r="8" spans="1:12" x14ac:dyDescent="0.3">
      <c r="A8" s="299"/>
      <c r="B8" s="300"/>
      <c r="C8" s="77" t="s">
        <v>78</v>
      </c>
      <c r="D8" s="300"/>
      <c r="E8" s="321"/>
      <c r="F8" s="35">
        <f>+F6+F7</f>
        <v>59.412999999999997</v>
      </c>
      <c r="G8" s="35">
        <f t="shared" ref="G8" si="0">+G6+G7</f>
        <v>68.043999999999997</v>
      </c>
      <c r="H8" s="35">
        <f>+G8-F8</f>
        <v>8.6310000000000002</v>
      </c>
      <c r="I8" s="47">
        <f>+ROUND(IF(H8&gt;0,H8*E6,0),4)</f>
        <v>0</v>
      </c>
      <c r="L8" s="65">
        <f>IFERROR(H8-'Nátok z PRDS'!H8,"N/A")</f>
        <v>8.6310000000000002</v>
      </c>
    </row>
    <row r="9" spans="1:12" x14ac:dyDescent="0.3">
      <c r="A9" s="299" t="s">
        <v>71</v>
      </c>
      <c r="B9" s="300" t="s">
        <v>79</v>
      </c>
      <c r="C9" s="77" t="s">
        <v>73</v>
      </c>
      <c r="D9" s="114"/>
      <c r="E9" s="58"/>
      <c r="F9" s="39">
        <v>4.8211000000000004</v>
      </c>
      <c r="G9" s="39">
        <v>5.4188999999999998</v>
      </c>
      <c r="H9" s="35">
        <f>+G9-F9</f>
        <v>0.59779999999999944</v>
      </c>
      <c r="I9" s="47">
        <f t="shared" ref="I9" si="1">+ROUND(IF(H9&gt;0,H9*E9,0),4)</f>
        <v>0</v>
      </c>
      <c r="L9" s="65">
        <f>IFERROR(H9-'Nátok z PRDS'!H9,"N/A")</f>
        <v>0.59779999999999944</v>
      </c>
    </row>
    <row r="10" spans="1:12" x14ac:dyDescent="0.3">
      <c r="A10" s="299"/>
      <c r="B10" s="300"/>
      <c r="C10" s="78" t="s">
        <v>80</v>
      </c>
      <c r="D10" s="114"/>
      <c r="E10" s="58"/>
      <c r="F10" s="39">
        <v>2.0985999999999998</v>
      </c>
      <c r="G10" s="39">
        <v>2.7094999999999998</v>
      </c>
      <c r="H10" s="35">
        <f>+G10-F10</f>
        <v>0.6109</v>
      </c>
      <c r="I10" s="47">
        <f>+ROUND(IF(H10&gt;0,H10*E10,0),4)</f>
        <v>0</v>
      </c>
      <c r="L10" s="65">
        <f>IFERROR(H10-'Nátok z PRDS'!H10,"N/A")</f>
        <v>0.6109</v>
      </c>
    </row>
    <row r="11" spans="1:12" x14ac:dyDescent="0.3">
      <c r="A11" s="299"/>
      <c r="B11" s="300"/>
      <c r="C11" s="77" t="s">
        <v>74</v>
      </c>
      <c r="D11" s="300" t="s">
        <v>75</v>
      </c>
      <c r="E11" s="319"/>
      <c r="F11" s="39">
        <v>19.7</v>
      </c>
      <c r="G11" s="39">
        <v>21.599999999999998</v>
      </c>
      <c r="H11" s="35" t="s">
        <v>76</v>
      </c>
      <c r="I11" s="35" t="s">
        <v>76</v>
      </c>
      <c r="L11" s="65" t="str">
        <f>IFERROR(H11-'Nátok z PRDS'!H11,"N/A")</f>
        <v>N/A</v>
      </c>
    </row>
    <row r="12" spans="1:12" x14ac:dyDescent="0.3">
      <c r="A12" s="299"/>
      <c r="B12" s="300"/>
      <c r="C12" s="77" t="s">
        <v>77</v>
      </c>
      <c r="D12" s="300"/>
      <c r="E12" s="320"/>
      <c r="F12" s="39">
        <v>12.413</v>
      </c>
      <c r="G12" s="39">
        <v>16.244</v>
      </c>
      <c r="H12" s="35" t="s">
        <v>76</v>
      </c>
      <c r="I12" s="35" t="s">
        <v>76</v>
      </c>
      <c r="L12" s="65" t="str">
        <f>IFERROR(H12-'Nátok z PRDS'!H12,"N/A")</f>
        <v>N/A</v>
      </c>
    </row>
    <row r="13" spans="1:12" x14ac:dyDescent="0.3">
      <c r="A13" s="299"/>
      <c r="B13" s="300"/>
      <c r="C13" s="77" t="s">
        <v>78</v>
      </c>
      <c r="D13" s="300"/>
      <c r="E13" s="321"/>
      <c r="F13" s="35">
        <f>+F11+F12</f>
        <v>32.113</v>
      </c>
      <c r="G13" s="35">
        <f t="shared" ref="G13" si="2">+G11+G12</f>
        <v>37.843999999999994</v>
      </c>
      <c r="H13" s="35">
        <f>+G13-F13</f>
        <v>5.7309999999999945</v>
      </c>
      <c r="I13" s="47">
        <f>+ROUND(IF(H13&gt;0,H13*E11,0),4)</f>
        <v>0</v>
      </c>
      <c r="L13" s="65">
        <f>IFERROR(H13-'Nátok z PRDS'!H13,"N/A")</f>
        <v>5.7309999999999945</v>
      </c>
    </row>
    <row r="14" spans="1:12" x14ac:dyDescent="0.3">
      <c r="A14" s="299" t="s">
        <v>71</v>
      </c>
      <c r="B14" s="300" t="s">
        <v>81</v>
      </c>
      <c r="C14" s="77" t="s">
        <v>73</v>
      </c>
      <c r="D14" s="114"/>
      <c r="E14" s="58"/>
      <c r="F14" s="39">
        <v>0.2954</v>
      </c>
      <c r="G14" s="39">
        <v>0.34860000000000002</v>
      </c>
      <c r="H14" s="35">
        <f>+G14-F14</f>
        <v>5.3200000000000025E-2</v>
      </c>
      <c r="I14" s="47">
        <f t="shared" ref="I14" si="3">+ROUND(IF(H14&gt;0,H14*E14,0),4)</f>
        <v>0</v>
      </c>
      <c r="L14" s="65">
        <f>IFERROR(H14-'Nátok z PRDS'!H14,"N/A")</f>
        <v>5.3200000000000025E-2</v>
      </c>
    </row>
    <row r="15" spans="1:12" x14ac:dyDescent="0.3">
      <c r="A15" s="299"/>
      <c r="B15" s="300"/>
      <c r="C15" s="77" t="s">
        <v>82</v>
      </c>
      <c r="D15" s="300" t="s">
        <v>75</v>
      </c>
      <c r="E15" s="319">
        <v>0</v>
      </c>
      <c r="F15" s="39">
        <v>5.2</v>
      </c>
      <c r="G15" s="39">
        <v>5.0999999999999996</v>
      </c>
      <c r="H15" s="35" t="s">
        <v>76</v>
      </c>
      <c r="I15" s="35" t="s">
        <v>76</v>
      </c>
      <c r="L15" s="65" t="str">
        <f>IFERROR(H15-'Nátok z PRDS'!H15,"N/A")</f>
        <v>N/A</v>
      </c>
    </row>
    <row r="16" spans="1:12" x14ac:dyDescent="0.3">
      <c r="A16" s="299"/>
      <c r="B16" s="300"/>
      <c r="C16" s="77" t="s">
        <v>77</v>
      </c>
      <c r="D16" s="300"/>
      <c r="E16" s="320"/>
      <c r="F16" s="39">
        <v>12.413</v>
      </c>
      <c r="G16" s="39">
        <v>16.244</v>
      </c>
      <c r="H16" s="35" t="s">
        <v>76</v>
      </c>
      <c r="I16" s="35" t="s">
        <v>76</v>
      </c>
      <c r="L16" s="65" t="str">
        <f>IFERROR(H16-'Nátok z PRDS'!H16,"N/A")</f>
        <v>N/A</v>
      </c>
    </row>
    <row r="17" spans="1:12" x14ac:dyDescent="0.3">
      <c r="A17" s="299"/>
      <c r="B17" s="300"/>
      <c r="C17" s="77" t="s">
        <v>83</v>
      </c>
      <c r="D17" s="300"/>
      <c r="E17" s="321"/>
      <c r="F17" s="35">
        <f>+F15+F16</f>
        <v>17.613</v>
      </c>
      <c r="G17" s="35">
        <f t="shared" ref="G17" si="4">+G15+G16</f>
        <v>21.344000000000001</v>
      </c>
      <c r="H17" s="35">
        <f>+G17-F17</f>
        <v>3.7310000000000016</v>
      </c>
      <c r="I17" s="47">
        <f>+ROUND(IF(H17&gt;0,H17*E15,0),4)</f>
        <v>0</v>
      </c>
      <c r="L17" s="65">
        <f>IFERROR(H17-'Nátok z PRDS'!H17,"N/A")</f>
        <v>3.7310000000000016</v>
      </c>
    </row>
    <row r="18" spans="1:12" x14ac:dyDescent="0.3">
      <c r="A18" s="299"/>
      <c r="B18" s="300"/>
      <c r="C18" s="77" t="s">
        <v>84</v>
      </c>
      <c r="D18" s="300" t="s">
        <v>75</v>
      </c>
      <c r="E18" s="319">
        <v>0</v>
      </c>
      <c r="F18" s="39"/>
      <c r="G18" s="39"/>
      <c r="H18" s="35" t="s">
        <v>76</v>
      </c>
      <c r="I18" s="35" t="s">
        <v>76</v>
      </c>
      <c r="L18" s="65" t="str">
        <f>IFERROR(H18-'Nátok z PRDS'!H18,"N/A")</f>
        <v>N/A</v>
      </c>
    </row>
    <row r="19" spans="1:12" x14ac:dyDescent="0.3">
      <c r="A19" s="299"/>
      <c r="B19" s="300"/>
      <c r="C19" s="77" t="s">
        <v>77</v>
      </c>
      <c r="D19" s="300"/>
      <c r="E19" s="320"/>
      <c r="F19" s="39"/>
      <c r="G19" s="39"/>
      <c r="H19" s="35" t="s">
        <v>76</v>
      </c>
      <c r="I19" s="35" t="s">
        <v>76</v>
      </c>
      <c r="L19" s="65" t="str">
        <f>IFERROR(H19-'Nátok z PRDS'!H19,"N/A")</f>
        <v>N/A</v>
      </c>
    </row>
    <row r="20" spans="1:12" x14ac:dyDescent="0.3">
      <c r="A20" s="299"/>
      <c r="B20" s="300"/>
      <c r="C20" s="77" t="s">
        <v>85</v>
      </c>
      <c r="D20" s="300"/>
      <c r="E20" s="321"/>
      <c r="F20" s="35">
        <f>+F18+F19</f>
        <v>0</v>
      </c>
      <c r="G20" s="35">
        <f t="shared" ref="G20" si="5">+G18+G19</f>
        <v>0</v>
      </c>
      <c r="H20" s="35">
        <f>+G20-F20</f>
        <v>0</v>
      </c>
      <c r="I20" s="47">
        <f>+ROUND(IF(H20&gt;0,H20*E18,0),4)</f>
        <v>0</v>
      </c>
      <c r="L20" s="65">
        <f>IFERROR(H20-'Nátok z PRDS'!H20,"N/A")</f>
        <v>0</v>
      </c>
    </row>
    <row r="21" spans="1:12" x14ac:dyDescent="0.3">
      <c r="A21" s="299" t="s">
        <v>71</v>
      </c>
      <c r="B21" s="300" t="s">
        <v>86</v>
      </c>
      <c r="C21" s="77" t="s">
        <v>73</v>
      </c>
      <c r="D21" s="114"/>
      <c r="E21" s="58"/>
      <c r="F21" s="39">
        <v>0.2954</v>
      </c>
      <c r="G21" s="39">
        <v>0.34860000000000002</v>
      </c>
      <c r="H21" s="35">
        <f>+G21-F21</f>
        <v>5.3200000000000025E-2</v>
      </c>
      <c r="I21" s="47">
        <f t="shared" ref="I21:I22" si="6">+ROUND(IF(H21&gt;0,H21*E21,0),4)</f>
        <v>0</v>
      </c>
      <c r="L21" s="65">
        <f>IFERROR(H21-'Nátok z PRDS'!H21,"N/A")</f>
        <v>5.3200000000000025E-2</v>
      </c>
    </row>
    <row r="22" spans="1:12" x14ac:dyDescent="0.3">
      <c r="A22" s="299"/>
      <c r="B22" s="300"/>
      <c r="C22" s="77" t="s">
        <v>80</v>
      </c>
      <c r="D22" s="114"/>
      <c r="E22" s="58"/>
      <c r="F22" s="39">
        <v>0.1651</v>
      </c>
      <c r="G22" s="39">
        <v>0.17430000000000001</v>
      </c>
      <c r="H22" s="35">
        <f>+G22-F22</f>
        <v>9.2000000000000137E-3</v>
      </c>
      <c r="I22" s="47">
        <f t="shared" si="6"/>
        <v>0</v>
      </c>
      <c r="L22" s="65">
        <f>IFERROR(H22-'Nátok z PRDS'!H22,"N/A")</f>
        <v>9.2000000000000137E-3</v>
      </c>
    </row>
    <row r="23" spans="1:12" x14ac:dyDescent="0.3">
      <c r="A23" s="299"/>
      <c r="B23" s="300"/>
      <c r="C23" s="77" t="s">
        <v>82</v>
      </c>
      <c r="D23" s="300" t="s">
        <v>75</v>
      </c>
      <c r="E23" s="319">
        <v>0</v>
      </c>
      <c r="F23" s="39">
        <v>5.2</v>
      </c>
      <c r="G23" s="39">
        <v>5.0999999999999996</v>
      </c>
      <c r="H23" s="35" t="s">
        <v>76</v>
      </c>
      <c r="I23" s="35" t="s">
        <v>76</v>
      </c>
      <c r="L23" s="65" t="str">
        <f>IFERROR(H23-'Nátok z PRDS'!H23,"N/A")</f>
        <v>N/A</v>
      </c>
    </row>
    <row r="24" spans="1:12" x14ac:dyDescent="0.3">
      <c r="A24" s="299"/>
      <c r="B24" s="300"/>
      <c r="C24" s="77" t="s">
        <v>77</v>
      </c>
      <c r="D24" s="300"/>
      <c r="E24" s="320"/>
      <c r="F24" s="39">
        <v>12.413</v>
      </c>
      <c r="G24" s="39">
        <v>16.244</v>
      </c>
      <c r="H24" s="35" t="s">
        <v>76</v>
      </c>
      <c r="I24" s="35" t="s">
        <v>76</v>
      </c>
      <c r="L24" s="65" t="str">
        <f>IFERROR(H24-'Nátok z PRDS'!H24,"N/A")</f>
        <v>N/A</v>
      </c>
    </row>
    <row r="25" spans="1:12" x14ac:dyDescent="0.3">
      <c r="A25" s="299"/>
      <c r="B25" s="300"/>
      <c r="C25" s="77" t="s">
        <v>83</v>
      </c>
      <c r="D25" s="300"/>
      <c r="E25" s="321"/>
      <c r="F25" s="35">
        <f>+F23+F24</f>
        <v>17.613</v>
      </c>
      <c r="G25" s="35">
        <f>+G23+G24</f>
        <v>21.344000000000001</v>
      </c>
      <c r="H25" s="35">
        <f>+G25-F25</f>
        <v>3.7310000000000016</v>
      </c>
      <c r="I25" s="47">
        <f>+ROUND(IF(H25&gt;0,H25*E23,0),4)</f>
        <v>0</v>
      </c>
      <c r="L25" s="65">
        <f>IFERROR(H25-'Nátok z PRDS'!H25,"N/A")</f>
        <v>3.7310000000000016</v>
      </c>
    </row>
    <row r="26" spans="1:12" x14ac:dyDescent="0.3">
      <c r="A26" s="299"/>
      <c r="B26" s="300"/>
      <c r="C26" s="77" t="s">
        <v>84</v>
      </c>
      <c r="D26" s="300" t="s">
        <v>75</v>
      </c>
      <c r="E26" s="319"/>
      <c r="F26" s="39"/>
      <c r="G26" s="39"/>
      <c r="H26" s="35" t="s">
        <v>76</v>
      </c>
      <c r="I26" s="35" t="s">
        <v>76</v>
      </c>
      <c r="L26" s="65" t="str">
        <f>IFERROR(H26-'Nátok z PRDS'!H26,"N/A")</f>
        <v>N/A</v>
      </c>
    </row>
    <row r="27" spans="1:12" x14ac:dyDescent="0.3">
      <c r="A27" s="299"/>
      <c r="B27" s="300"/>
      <c r="C27" s="77" t="s">
        <v>77</v>
      </c>
      <c r="D27" s="300"/>
      <c r="E27" s="320"/>
      <c r="F27" s="39"/>
      <c r="G27" s="39"/>
      <c r="H27" s="35" t="s">
        <v>76</v>
      </c>
      <c r="I27" s="35" t="s">
        <v>76</v>
      </c>
      <c r="L27" s="65" t="str">
        <f>IFERROR(H27-'Nátok z PRDS'!H27,"N/A")</f>
        <v>N/A</v>
      </c>
    </row>
    <row r="28" spans="1:12" x14ac:dyDescent="0.3">
      <c r="A28" s="299"/>
      <c r="B28" s="300"/>
      <c r="C28" s="77" t="s">
        <v>85</v>
      </c>
      <c r="D28" s="300"/>
      <c r="E28" s="321"/>
      <c r="F28" s="35">
        <f>+F26+F27</f>
        <v>0</v>
      </c>
      <c r="G28" s="35">
        <f t="shared" ref="G28" si="7">+G26+G27</f>
        <v>0</v>
      </c>
      <c r="H28" s="35">
        <f>+G28-F28</f>
        <v>0</v>
      </c>
      <c r="I28" s="47">
        <f>+ROUND(IF(H28&gt;0,H28*E26,0),4)</f>
        <v>0</v>
      </c>
      <c r="L28" s="65">
        <f>IFERROR(H28-'Nátok z PRDS'!H28,"N/A")</f>
        <v>0</v>
      </c>
    </row>
    <row r="29" spans="1:12" x14ac:dyDescent="0.3">
      <c r="A29" s="299" t="s">
        <v>71</v>
      </c>
      <c r="B29" s="300" t="s">
        <v>87</v>
      </c>
      <c r="C29" s="77" t="s">
        <v>73</v>
      </c>
      <c r="D29" s="114"/>
      <c r="E29" s="58"/>
      <c r="F29" s="39">
        <v>0.2954</v>
      </c>
      <c r="G29" s="39">
        <v>0.34860000000000002</v>
      </c>
      <c r="H29" s="35">
        <f>+G29-F29</f>
        <v>5.3200000000000025E-2</v>
      </c>
      <c r="I29" s="47">
        <f t="shared" ref="I29" si="8">+ROUND(IF(H29&gt;0,H29*E29,0),4)</f>
        <v>0</v>
      </c>
      <c r="L29" s="65">
        <f>IFERROR(H29-'Nátok z PRDS'!H29,"N/A")</f>
        <v>5.3200000000000025E-2</v>
      </c>
    </row>
    <row r="30" spans="1:12" x14ac:dyDescent="0.3">
      <c r="A30" s="299"/>
      <c r="B30" s="300"/>
      <c r="C30" s="77" t="s">
        <v>82</v>
      </c>
      <c r="D30" s="300" t="s">
        <v>75</v>
      </c>
      <c r="E30" s="319">
        <v>0</v>
      </c>
      <c r="F30" s="39">
        <v>5.2</v>
      </c>
      <c r="G30" s="39">
        <v>5.0999999999999996</v>
      </c>
      <c r="H30" s="35" t="s">
        <v>76</v>
      </c>
      <c r="I30" s="35" t="s">
        <v>76</v>
      </c>
      <c r="L30" s="65" t="str">
        <f>IFERROR(H30-'Nátok z PRDS'!H30,"N/A")</f>
        <v>N/A</v>
      </c>
    </row>
    <row r="31" spans="1:12" x14ac:dyDescent="0.3">
      <c r="A31" s="299"/>
      <c r="B31" s="300"/>
      <c r="C31" s="77" t="s">
        <v>77</v>
      </c>
      <c r="D31" s="300"/>
      <c r="E31" s="320"/>
      <c r="F31" s="39">
        <v>12.413</v>
      </c>
      <c r="G31" s="39">
        <v>16.244</v>
      </c>
      <c r="H31" s="35" t="s">
        <v>76</v>
      </c>
      <c r="I31" s="35" t="s">
        <v>76</v>
      </c>
      <c r="L31" s="65" t="str">
        <f>IFERROR(H31-'Nátok z PRDS'!H31,"N/A")</f>
        <v>N/A</v>
      </c>
    </row>
    <row r="32" spans="1:12" x14ac:dyDescent="0.3">
      <c r="A32" s="299"/>
      <c r="B32" s="300"/>
      <c r="C32" s="77" t="s">
        <v>83</v>
      </c>
      <c r="D32" s="300"/>
      <c r="E32" s="321"/>
      <c r="F32" s="35">
        <f>+F30+F31</f>
        <v>17.613</v>
      </c>
      <c r="G32" s="35">
        <f t="shared" ref="G32" si="9">+G30+G31</f>
        <v>21.344000000000001</v>
      </c>
      <c r="H32" s="35">
        <f>+G32-F32</f>
        <v>3.7310000000000016</v>
      </c>
      <c r="I32" s="47">
        <f>+ROUND(IF(H32&gt;0,H32*E30,0),4)</f>
        <v>0</v>
      </c>
      <c r="L32" s="65">
        <f>IFERROR(H32-'Nátok z PRDS'!H32,"N/A")</f>
        <v>3.7310000000000016</v>
      </c>
    </row>
    <row r="33" spans="1:12" x14ac:dyDescent="0.3">
      <c r="A33" s="299"/>
      <c r="B33" s="300"/>
      <c r="C33" s="77" t="s">
        <v>84</v>
      </c>
      <c r="D33" s="300" t="s">
        <v>75</v>
      </c>
      <c r="E33" s="319">
        <v>0</v>
      </c>
      <c r="F33" s="39"/>
      <c r="G33" s="39"/>
      <c r="H33" s="35" t="s">
        <v>76</v>
      </c>
      <c r="I33" s="35" t="s">
        <v>76</v>
      </c>
      <c r="L33" s="65" t="str">
        <f>IFERROR(H33-'Nátok z PRDS'!H33,"N/A")</f>
        <v>N/A</v>
      </c>
    </row>
    <row r="34" spans="1:12" x14ac:dyDescent="0.3">
      <c r="A34" s="299"/>
      <c r="B34" s="300"/>
      <c r="C34" s="77" t="s">
        <v>77</v>
      </c>
      <c r="D34" s="300"/>
      <c r="E34" s="320"/>
      <c r="F34" s="39"/>
      <c r="G34" s="39"/>
      <c r="H34" s="35" t="s">
        <v>76</v>
      </c>
      <c r="I34" s="35" t="s">
        <v>76</v>
      </c>
      <c r="L34" s="65" t="str">
        <f>IFERROR(H34-'Nátok z PRDS'!H34,"N/A")</f>
        <v>N/A</v>
      </c>
    </row>
    <row r="35" spans="1:12" x14ac:dyDescent="0.3">
      <c r="A35" s="299"/>
      <c r="B35" s="300"/>
      <c r="C35" s="77" t="s">
        <v>85</v>
      </c>
      <c r="D35" s="300"/>
      <c r="E35" s="321"/>
      <c r="F35" s="35">
        <f>+F33+F34</f>
        <v>0</v>
      </c>
      <c r="G35" s="35">
        <f t="shared" ref="G35" si="10">+G33+G34</f>
        <v>0</v>
      </c>
      <c r="H35" s="35">
        <f>+G35-F35</f>
        <v>0</v>
      </c>
      <c r="I35" s="47">
        <f>+ROUND(IF(H35&gt;0,H35*E33,0),4)</f>
        <v>0</v>
      </c>
      <c r="L35" s="65">
        <f>IFERROR(H35-'Nátok z PRDS'!H35,"N/A")</f>
        <v>0</v>
      </c>
    </row>
    <row r="36" spans="1:12" x14ac:dyDescent="0.3">
      <c r="A36" s="299" t="s">
        <v>71</v>
      </c>
      <c r="B36" s="300" t="s">
        <v>88</v>
      </c>
      <c r="C36" s="77" t="s">
        <v>73</v>
      </c>
      <c r="D36" s="114"/>
      <c r="E36" s="58"/>
      <c r="F36" s="39">
        <v>0.2954</v>
      </c>
      <c r="G36" s="39">
        <v>0.34860000000000002</v>
      </c>
      <c r="H36" s="35">
        <f>+G36-F36</f>
        <v>5.3200000000000025E-2</v>
      </c>
      <c r="I36" s="47">
        <f t="shared" ref="I36" si="11">+ROUND(IF(H36&gt;0,H36*E36,0),4)</f>
        <v>0</v>
      </c>
      <c r="L36" s="65">
        <f>IFERROR(H36-'Nátok z PRDS'!H36,"N/A")</f>
        <v>5.3200000000000025E-2</v>
      </c>
    </row>
    <row r="37" spans="1:12" x14ac:dyDescent="0.3">
      <c r="A37" s="299"/>
      <c r="B37" s="300"/>
      <c r="C37" s="77" t="s">
        <v>82</v>
      </c>
      <c r="D37" s="300" t="s">
        <v>75</v>
      </c>
      <c r="E37" s="319">
        <v>0</v>
      </c>
      <c r="F37" s="39">
        <v>5.2</v>
      </c>
      <c r="G37" s="39">
        <v>5.0999999999999996</v>
      </c>
      <c r="H37" s="35" t="s">
        <v>76</v>
      </c>
      <c r="I37" s="35" t="s">
        <v>76</v>
      </c>
      <c r="L37" s="65" t="str">
        <f>IFERROR(H37-'Nátok z PRDS'!H37,"N/A")</f>
        <v>N/A</v>
      </c>
    </row>
    <row r="38" spans="1:12" x14ac:dyDescent="0.3">
      <c r="A38" s="299"/>
      <c r="B38" s="300"/>
      <c r="C38" s="77" t="s">
        <v>77</v>
      </c>
      <c r="D38" s="300"/>
      <c r="E38" s="320"/>
      <c r="F38" s="39">
        <v>12.413</v>
      </c>
      <c r="G38" s="39">
        <v>16.244</v>
      </c>
      <c r="H38" s="35" t="s">
        <v>76</v>
      </c>
      <c r="I38" s="35" t="s">
        <v>76</v>
      </c>
      <c r="L38" s="65" t="str">
        <f>IFERROR(H38-'Nátok z PRDS'!H38,"N/A")</f>
        <v>N/A</v>
      </c>
    </row>
    <row r="39" spans="1:12" x14ac:dyDescent="0.3">
      <c r="A39" s="299"/>
      <c r="B39" s="300"/>
      <c r="C39" s="77" t="s">
        <v>83</v>
      </c>
      <c r="D39" s="300"/>
      <c r="E39" s="321"/>
      <c r="F39" s="35">
        <f>+F37+F38</f>
        <v>17.613</v>
      </c>
      <c r="G39" s="35">
        <f t="shared" ref="G39" si="12">+G37+G38</f>
        <v>21.344000000000001</v>
      </c>
      <c r="H39" s="35">
        <f>+G39-F39</f>
        <v>3.7310000000000016</v>
      </c>
      <c r="I39" s="47">
        <f>+ROUND(IF(H39&gt;0,H39*E37,0),4)</f>
        <v>0</v>
      </c>
      <c r="L39" s="65">
        <f>IFERROR(H39-'Nátok z PRDS'!H39,"N/A")</f>
        <v>3.7310000000000016</v>
      </c>
    </row>
    <row r="40" spans="1:12" x14ac:dyDescent="0.3">
      <c r="A40" s="299"/>
      <c r="B40" s="300"/>
      <c r="C40" s="77" t="s">
        <v>84</v>
      </c>
      <c r="D40" s="300" t="s">
        <v>75</v>
      </c>
      <c r="E40" s="319">
        <v>0</v>
      </c>
      <c r="F40" s="39"/>
      <c r="G40" s="39"/>
      <c r="H40" s="35" t="s">
        <v>76</v>
      </c>
      <c r="I40" s="35" t="s">
        <v>76</v>
      </c>
      <c r="L40" s="65" t="str">
        <f>IFERROR(H40-'Nátok z PRDS'!H40,"N/A")</f>
        <v>N/A</v>
      </c>
    </row>
    <row r="41" spans="1:12" x14ac:dyDescent="0.3">
      <c r="A41" s="299"/>
      <c r="B41" s="300"/>
      <c r="C41" s="77" t="s">
        <v>77</v>
      </c>
      <c r="D41" s="300"/>
      <c r="E41" s="320"/>
      <c r="F41" s="39"/>
      <c r="G41" s="39"/>
      <c r="H41" s="35" t="s">
        <v>76</v>
      </c>
      <c r="I41" s="35" t="s">
        <v>76</v>
      </c>
      <c r="L41" s="65" t="str">
        <f>IFERROR(H41-'Nátok z PRDS'!H41,"N/A")</f>
        <v>N/A</v>
      </c>
    </row>
    <row r="42" spans="1:12" x14ac:dyDescent="0.3">
      <c r="A42" s="299"/>
      <c r="B42" s="300"/>
      <c r="C42" s="77" t="s">
        <v>85</v>
      </c>
      <c r="D42" s="300"/>
      <c r="E42" s="321"/>
      <c r="F42" s="35">
        <f>+F40+F41</f>
        <v>0</v>
      </c>
      <c r="G42" s="35">
        <f t="shared" ref="G42" si="13">+G40+G41</f>
        <v>0</v>
      </c>
      <c r="H42" s="35">
        <f>+G42-F42</f>
        <v>0</v>
      </c>
      <c r="I42" s="47">
        <f>+ROUND(IF(H42&gt;0,H42*E40,0),4)</f>
        <v>0</v>
      </c>
      <c r="L42" s="65">
        <f>IFERROR(H42-'Nátok z PRDS'!H42,"N/A")</f>
        <v>0</v>
      </c>
    </row>
    <row r="43" spans="1:12" x14ac:dyDescent="0.3">
      <c r="A43" s="299" t="s">
        <v>71</v>
      </c>
      <c r="B43" s="300" t="s">
        <v>89</v>
      </c>
      <c r="C43" s="77" t="s">
        <v>73</v>
      </c>
      <c r="D43" s="114"/>
      <c r="E43" s="58"/>
      <c r="F43" s="39"/>
      <c r="G43" s="39"/>
      <c r="H43" s="35">
        <f>+G43-F43</f>
        <v>0</v>
      </c>
      <c r="I43" s="47">
        <f>+ROUND(IF(H43&gt;0,H43*E43,0),4)</f>
        <v>0</v>
      </c>
      <c r="L43" s="65">
        <f>IFERROR(H43-'Nátok z PRDS'!H43,"N/A")</f>
        <v>0</v>
      </c>
    </row>
    <row r="44" spans="1:12" x14ac:dyDescent="0.3">
      <c r="A44" s="299"/>
      <c r="B44" s="300"/>
      <c r="C44" s="77" t="s">
        <v>82</v>
      </c>
      <c r="D44" s="300" t="s">
        <v>75</v>
      </c>
      <c r="E44" s="319">
        <v>0</v>
      </c>
      <c r="F44" s="39"/>
      <c r="G44" s="39"/>
      <c r="H44" s="35" t="s">
        <v>76</v>
      </c>
      <c r="I44" s="35" t="s">
        <v>76</v>
      </c>
      <c r="L44" s="65" t="str">
        <f>IFERROR(H44-'Nátok z PRDS'!H44,"N/A")</f>
        <v>N/A</v>
      </c>
    </row>
    <row r="45" spans="1:12" x14ac:dyDescent="0.3">
      <c r="A45" s="299"/>
      <c r="B45" s="300"/>
      <c r="C45" s="77" t="s">
        <v>77</v>
      </c>
      <c r="D45" s="300"/>
      <c r="E45" s="320"/>
      <c r="F45" s="39"/>
      <c r="G45" s="39"/>
      <c r="H45" s="35" t="s">
        <v>76</v>
      </c>
      <c r="I45" s="35" t="s">
        <v>76</v>
      </c>
      <c r="L45" s="65" t="str">
        <f>IFERROR(H45-'Nátok z PRDS'!H45,"N/A")</f>
        <v>N/A</v>
      </c>
    </row>
    <row r="46" spans="1:12" x14ac:dyDescent="0.3">
      <c r="A46" s="299"/>
      <c r="B46" s="300"/>
      <c r="C46" s="77" t="s">
        <v>83</v>
      </c>
      <c r="D46" s="300"/>
      <c r="E46" s="321"/>
      <c r="F46" s="35">
        <f>+F44+F45</f>
        <v>0</v>
      </c>
      <c r="G46" s="35">
        <f t="shared" ref="G46" si="14">+G44+G45</f>
        <v>0</v>
      </c>
      <c r="H46" s="35">
        <f>+G46-F46</f>
        <v>0</v>
      </c>
      <c r="I46" s="47">
        <f>+ROUND(IF(H46&gt;0,H46*E44,0),4)</f>
        <v>0</v>
      </c>
      <c r="L46" s="65">
        <f>IFERROR(H46-'Nátok z PRDS'!H46,"N/A")</f>
        <v>0</v>
      </c>
    </row>
    <row r="47" spans="1:12" x14ac:dyDescent="0.3">
      <c r="A47" s="299"/>
      <c r="B47" s="300"/>
      <c r="C47" s="77" t="s">
        <v>84</v>
      </c>
      <c r="D47" s="300" t="s">
        <v>75</v>
      </c>
      <c r="E47" s="319">
        <v>0</v>
      </c>
      <c r="F47" s="39"/>
      <c r="G47" s="39"/>
      <c r="H47" s="35" t="s">
        <v>76</v>
      </c>
      <c r="I47" s="35" t="s">
        <v>76</v>
      </c>
      <c r="L47" s="65" t="str">
        <f>IFERROR(H47-'Nátok z PRDS'!H47,"N/A")</f>
        <v>N/A</v>
      </c>
    </row>
    <row r="48" spans="1:12" x14ac:dyDescent="0.3">
      <c r="A48" s="299"/>
      <c r="B48" s="300"/>
      <c r="C48" s="77" t="s">
        <v>77</v>
      </c>
      <c r="D48" s="300"/>
      <c r="E48" s="320"/>
      <c r="F48" s="39"/>
      <c r="G48" s="39"/>
      <c r="H48" s="35" t="s">
        <v>76</v>
      </c>
      <c r="I48" s="35" t="s">
        <v>76</v>
      </c>
      <c r="L48" s="65" t="str">
        <f>IFERROR(H48-'Nátok z PRDS'!H48,"N/A")</f>
        <v>N/A</v>
      </c>
    </row>
    <row r="49" spans="1:12" x14ac:dyDescent="0.3">
      <c r="A49" s="299"/>
      <c r="B49" s="300"/>
      <c r="C49" s="77" t="s">
        <v>85</v>
      </c>
      <c r="D49" s="300"/>
      <c r="E49" s="321"/>
      <c r="F49" s="35">
        <f>+F47+F48</f>
        <v>0</v>
      </c>
      <c r="G49" s="35">
        <f t="shared" ref="G49" si="15">+G47+G48</f>
        <v>0</v>
      </c>
      <c r="H49" s="35">
        <f>+G49-F49</f>
        <v>0</v>
      </c>
      <c r="I49" s="47">
        <f>+ROUND(IF(H49&gt;0,H49*E47,0),4)</f>
        <v>0</v>
      </c>
      <c r="L49" s="65">
        <f>IFERROR(H49-'Nátok z PRDS'!H49,"N/A")</f>
        <v>0</v>
      </c>
    </row>
    <row r="50" spans="1:12" x14ac:dyDescent="0.3">
      <c r="A50" s="299" t="s">
        <v>71</v>
      </c>
      <c r="B50" s="300" t="s">
        <v>90</v>
      </c>
      <c r="C50" s="77" t="s">
        <v>73</v>
      </c>
      <c r="D50" s="114"/>
      <c r="E50" s="58"/>
      <c r="F50" s="39"/>
      <c r="G50" s="39"/>
      <c r="H50" s="35">
        <f>+G50-F50</f>
        <v>0</v>
      </c>
      <c r="I50" s="47">
        <f>+ROUND(IF(H50&gt;0,H50*E50,0),4)</f>
        <v>0</v>
      </c>
      <c r="L50" s="65">
        <f>IFERROR(H50-'Nátok z PRDS'!H50,"N/A")</f>
        <v>0</v>
      </c>
    </row>
    <row r="51" spans="1:12" x14ac:dyDescent="0.3">
      <c r="A51" s="299"/>
      <c r="B51" s="300"/>
      <c r="C51" s="77" t="s">
        <v>82</v>
      </c>
      <c r="D51" s="300" t="s">
        <v>75</v>
      </c>
      <c r="E51" s="319">
        <v>0</v>
      </c>
      <c r="F51" s="39"/>
      <c r="G51" s="39"/>
      <c r="H51" s="35" t="s">
        <v>76</v>
      </c>
      <c r="I51" s="35" t="s">
        <v>76</v>
      </c>
      <c r="L51" s="65" t="str">
        <f>IFERROR(H51-'Nátok z PRDS'!H51,"N/A")</f>
        <v>N/A</v>
      </c>
    </row>
    <row r="52" spans="1:12" x14ac:dyDescent="0.3">
      <c r="A52" s="299"/>
      <c r="B52" s="300"/>
      <c r="C52" s="77" t="s">
        <v>77</v>
      </c>
      <c r="D52" s="300"/>
      <c r="E52" s="320"/>
      <c r="F52" s="39"/>
      <c r="G52" s="39"/>
      <c r="H52" s="35" t="s">
        <v>76</v>
      </c>
      <c r="I52" s="35" t="s">
        <v>76</v>
      </c>
      <c r="L52" s="65" t="str">
        <f>IFERROR(H52-'Nátok z PRDS'!H52,"N/A")</f>
        <v>N/A</v>
      </c>
    </row>
    <row r="53" spans="1:12" x14ac:dyDescent="0.3">
      <c r="A53" s="299"/>
      <c r="B53" s="300"/>
      <c r="C53" s="77" t="s">
        <v>83</v>
      </c>
      <c r="D53" s="300"/>
      <c r="E53" s="321"/>
      <c r="F53" s="35">
        <f>+F51+F52</f>
        <v>0</v>
      </c>
      <c r="G53" s="35">
        <f t="shared" ref="G53" si="16">+G51+G52</f>
        <v>0</v>
      </c>
      <c r="H53" s="35">
        <f>+G53-F53</f>
        <v>0</v>
      </c>
      <c r="I53" s="47">
        <f>+ROUND(IF(H53&gt;0,H53*E51,0),4)</f>
        <v>0</v>
      </c>
      <c r="L53" s="65">
        <f>IFERROR(H53-'Nátok z PRDS'!H53,"N/A")</f>
        <v>0</v>
      </c>
    </row>
    <row r="54" spans="1:12" x14ac:dyDescent="0.3">
      <c r="A54" s="299"/>
      <c r="B54" s="300"/>
      <c r="C54" s="77" t="s">
        <v>84</v>
      </c>
      <c r="D54" s="300" t="s">
        <v>75</v>
      </c>
      <c r="E54" s="319">
        <v>0</v>
      </c>
      <c r="F54" s="39"/>
      <c r="G54" s="39"/>
      <c r="H54" s="35" t="s">
        <v>76</v>
      </c>
      <c r="I54" s="35" t="s">
        <v>76</v>
      </c>
      <c r="L54" s="65" t="str">
        <f>IFERROR(H54-'Nátok z PRDS'!H54,"N/A")</f>
        <v>N/A</v>
      </c>
    </row>
    <row r="55" spans="1:12" x14ac:dyDescent="0.3">
      <c r="A55" s="299"/>
      <c r="B55" s="300"/>
      <c r="C55" s="77" t="s">
        <v>77</v>
      </c>
      <c r="D55" s="300"/>
      <c r="E55" s="320"/>
      <c r="F55" s="39"/>
      <c r="G55" s="39"/>
      <c r="H55" s="35" t="s">
        <v>76</v>
      </c>
      <c r="I55" s="35" t="s">
        <v>76</v>
      </c>
      <c r="L55" s="65" t="str">
        <f>IFERROR(H55-'Nátok z PRDS'!H55,"N/A")</f>
        <v>N/A</v>
      </c>
    </row>
    <row r="56" spans="1:12" x14ac:dyDescent="0.3">
      <c r="A56" s="299"/>
      <c r="B56" s="300"/>
      <c r="C56" s="77" t="s">
        <v>85</v>
      </c>
      <c r="D56" s="300"/>
      <c r="E56" s="321"/>
      <c r="F56" s="35">
        <f>+F54+F55</f>
        <v>0</v>
      </c>
      <c r="G56" s="35">
        <f t="shared" ref="G56" si="17">+G54+G55</f>
        <v>0</v>
      </c>
      <c r="H56" s="35">
        <f>+G56-F56</f>
        <v>0</v>
      </c>
      <c r="I56" s="47">
        <f>+ROUND(IF(H56&gt;0,H56*E54,0),4)</f>
        <v>0</v>
      </c>
      <c r="L56" s="65">
        <f>IFERROR(H56-'Nátok z PRDS'!H56,"N/A")</f>
        <v>0</v>
      </c>
    </row>
    <row r="57" spans="1:12" x14ac:dyDescent="0.3">
      <c r="A57" s="299" t="s">
        <v>71</v>
      </c>
      <c r="B57" s="300" t="s">
        <v>91</v>
      </c>
      <c r="C57" s="77" t="s">
        <v>73</v>
      </c>
      <c r="D57" s="114"/>
      <c r="E57" s="58"/>
      <c r="F57" s="39"/>
      <c r="G57" s="39"/>
      <c r="H57" s="35">
        <f>+G57-F57</f>
        <v>0</v>
      </c>
      <c r="I57" s="47">
        <f t="shared" ref="I57" si="18">+ROUND(IF(H57&gt;0,H57*E57,0),4)</f>
        <v>0</v>
      </c>
      <c r="L57" s="65">
        <f>IFERROR(H57-'Nátok z PRDS'!H57,"N/A")</f>
        <v>0</v>
      </c>
    </row>
    <row r="58" spans="1:12" x14ac:dyDescent="0.3">
      <c r="A58" s="299"/>
      <c r="B58" s="300"/>
      <c r="C58" s="77" t="s">
        <v>82</v>
      </c>
      <c r="D58" s="300" t="s">
        <v>75</v>
      </c>
      <c r="E58" s="319">
        <v>0</v>
      </c>
      <c r="F58" s="39"/>
      <c r="G58" s="39"/>
      <c r="H58" s="35" t="s">
        <v>76</v>
      </c>
      <c r="I58" s="35" t="s">
        <v>76</v>
      </c>
      <c r="L58" s="65" t="str">
        <f>IFERROR(H58-'Nátok z PRDS'!H58,"N/A")</f>
        <v>N/A</v>
      </c>
    </row>
    <row r="59" spans="1:12" x14ac:dyDescent="0.3">
      <c r="A59" s="299"/>
      <c r="B59" s="300"/>
      <c r="C59" s="77" t="s">
        <v>77</v>
      </c>
      <c r="D59" s="300"/>
      <c r="E59" s="320"/>
      <c r="F59" s="39"/>
      <c r="G59" s="39"/>
      <c r="H59" s="35" t="s">
        <v>76</v>
      </c>
      <c r="I59" s="35" t="s">
        <v>76</v>
      </c>
      <c r="L59" s="65" t="str">
        <f>IFERROR(H59-'Nátok z PRDS'!H59,"N/A")</f>
        <v>N/A</v>
      </c>
    </row>
    <row r="60" spans="1:12" x14ac:dyDescent="0.3">
      <c r="A60" s="299"/>
      <c r="B60" s="300"/>
      <c r="C60" s="77" t="s">
        <v>83</v>
      </c>
      <c r="D60" s="300"/>
      <c r="E60" s="321"/>
      <c r="F60" s="35">
        <f>+F58+F59</f>
        <v>0</v>
      </c>
      <c r="G60" s="35">
        <f t="shared" ref="G60" si="19">+G58+G59</f>
        <v>0</v>
      </c>
      <c r="H60" s="35">
        <f>+G60-F60</f>
        <v>0</v>
      </c>
      <c r="I60" s="47">
        <f>+ROUND(IF(H60&gt;0,H60*E58,0),4)</f>
        <v>0</v>
      </c>
      <c r="L60" s="65">
        <f>IFERROR(H60-'Nátok z PRDS'!H60,"N/A")</f>
        <v>0</v>
      </c>
    </row>
    <row r="61" spans="1:12" x14ac:dyDescent="0.3">
      <c r="A61" s="299"/>
      <c r="B61" s="300"/>
      <c r="C61" s="77" t="s">
        <v>84</v>
      </c>
      <c r="D61" s="300" t="s">
        <v>75</v>
      </c>
      <c r="E61" s="319">
        <v>0</v>
      </c>
      <c r="F61" s="39"/>
      <c r="G61" s="39"/>
      <c r="H61" s="35" t="s">
        <v>76</v>
      </c>
      <c r="I61" s="35" t="s">
        <v>76</v>
      </c>
      <c r="L61" s="65" t="str">
        <f>IFERROR(H61-'Nátok z PRDS'!H61,"N/A")</f>
        <v>N/A</v>
      </c>
    </row>
    <row r="62" spans="1:12" x14ac:dyDescent="0.3">
      <c r="A62" s="299"/>
      <c r="B62" s="300"/>
      <c r="C62" s="77" t="s">
        <v>77</v>
      </c>
      <c r="D62" s="300"/>
      <c r="E62" s="320"/>
      <c r="F62" s="39"/>
      <c r="G62" s="39"/>
      <c r="H62" s="35" t="s">
        <v>76</v>
      </c>
      <c r="I62" s="35" t="s">
        <v>76</v>
      </c>
      <c r="L62" s="65" t="str">
        <f>IFERROR(H62-'Nátok z PRDS'!H62,"N/A")</f>
        <v>N/A</v>
      </c>
    </row>
    <row r="63" spans="1:12" x14ac:dyDescent="0.3">
      <c r="A63" s="299"/>
      <c r="B63" s="300"/>
      <c r="C63" s="77" t="s">
        <v>85</v>
      </c>
      <c r="D63" s="300"/>
      <c r="E63" s="321"/>
      <c r="F63" s="35">
        <f>+F61+F62</f>
        <v>0</v>
      </c>
      <c r="G63" s="35">
        <f t="shared" ref="G63" si="20">+G61+G62</f>
        <v>0</v>
      </c>
      <c r="H63" s="35">
        <f>+G63-F63</f>
        <v>0</v>
      </c>
      <c r="I63" s="47">
        <f>+ROUND(IF(H63&gt;0,H63*E61,0),4)</f>
        <v>0</v>
      </c>
      <c r="L63" s="65">
        <f>IFERROR(H63-'Nátok z PRDS'!H63,"N/A")</f>
        <v>0</v>
      </c>
    </row>
    <row r="64" spans="1:12" x14ac:dyDescent="0.3">
      <c r="A64" s="299" t="s">
        <v>92</v>
      </c>
      <c r="B64" s="300" t="s">
        <v>93</v>
      </c>
      <c r="C64" s="77" t="s">
        <v>73</v>
      </c>
      <c r="D64" s="114"/>
      <c r="E64" s="58"/>
      <c r="F64" s="39"/>
      <c r="G64" s="39"/>
      <c r="H64" s="35">
        <f>+G64-F64</f>
        <v>0</v>
      </c>
      <c r="I64" s="47">
        <f t="shared" ref="I64" si="21">+ROUND(IF(H64&gt;0,H64*E64,0),4)</f>
        <v>0</v>
      </c>
      <c r="L64" s="65">
        <f>IFERROR(H64-'Nátok z PRDS'!H64,"N/A")</f>
        <v>0</v>
      </c>
    </row>
    <row r="65" spans="1:12" x14ac:dyDescent="0.3">
      <c r="A65" s="299"/>
      <c r="B65" s="300"/>
      <c r="C65" s="77" t="s">
        <v>94</v>
      </c>
      <c r="D65" s="300" t="s">
        <v>75</v>
      </c>
      <c r="E65" s="319">
        <v>0</v>
      </c>
      <c r="F65" s="39"/>
      <c r="G65" s="39"/>
      <c r="H65" s="35" t="s">
        <v>76</v>
      </c>
      <c r="I65" s="35" t="s">
        <v>76</v>
      </c>
      <c r="L65" s="65" t="str">
        <f>IFERROR(H65-'Nátok z PRDS'!H65,"N/A")</f>
        <v>N/A</v>
      </c>
    </row>
    <row r="66" spans="1:12" x14ac:dyDescent="0.3">
      <c r="A66" s="299"/>
      <c r="B66" s="300"/>
      <c r="C66" s="77" t="s">
        <v>77</v>
      </c>
      <c r="D66" s="300"/>
      <c r="E66" s="320"/>
      <c r="F66" s="39"/>
      <c r="G66" s="39"/>
      <c r="H66" s="35" t="s">
        <v>76</v>
      </c>
      <c r="I66" s="35" t="s">
        <v>76</v>
      </c>
      <c r="L66" s="65" t="str">
        <f>IFERROR(H66-'Nátok z PRDS'!H66,"N/A")</f>
        <v>N/A</v>
      </c>
    </row>
    <row r="67" spans="1:12" x14ac:dyDescent="0.3">
      <c r="A67" s="299"/>
      <c r="B67" s="300"/>
      <c r="C67" s="77" t="s">
        <v>95</v>
      </c>
      <c r="D67" s="300"/>
      <c r="E67" s="321"/>
      <c r="F67" s="35">
        <f>+F65+F66</f>
        <v>0</v>
      </c>
      <c r="G67" s="35">
        <f t="shared" ref="G67" si="22">+G65+G66</f>
        <v>0</v>
      </c>
      <c r="H67" s="35">
        <f>+G67-F67</f>
        <v>0</v>
      </c>
      <c r="I67" s="47">
        <f>+ROUND(IF(H67&gt;0,H67*E65,0),4)</f>
        <v>0</v>
      </c>
      <c r="L67" s="65">
        <f>IFERROR(H67-'Nátok z PRDS'!H67,"N/A")</f>
        <v>0</v>
      </c>
    </row>
    <row r="68" spans="1:12" x14ac:dyDescent="0.3">
      <c r="A68" s="299"/>
      <c r="B68" s="300"/>
      <c r="C68" s="77" t="s">
        <v>82</v>
      </c>
      <c r="D68" s="300" t="s">
        <v>75</v>
      </c>
      <c r="E68" s="319">
        <v>0</v>
      </c>
      <c r="F68" s="39"/>
      <c r="G68" s="39"/>
      <c r="H68" s="35" t="s">
        <v>76</v>
      </c>
      <c r="I68" s="35" t="s">
        <v>76</v>
      </c>
      <c r="L68" s="65" t="str">
        <f>IFERROR(H68-'Nátok z PRDS'!H68,"N/A")</f>
        <v>N/A</v>
      </c>
    </row>
    <row r="69" spans="1:12" x14ac:dyDescent="0.3">
      <c r="A69" s="299"/>
      <c r="B69" s="300"/>
      <c r="C69" s="77" t="s">
        <v>77</v>
      </c>
      <c r="D69" s="300"/>
      <c r="E69" s="320"/>
      <c r="F69" s="39"/>
      <c r="G69" s="39"/>
      <c r="H69" s="35" t="s">
        <v>76</v>
      </c>
      <c r="I69" s="35" t="s">
        <v>76</v>
      </c>
      <c r="L69" s="65" t="str">
        <f>IFERROR(H69-'Nátok z PRDS'!H69,"N/A")</f>
        <v>N/A</v>
      </c>
    </row>
    <row r="70" spans="1:12" x14ac:dyDescent="0.3">
      <c r="A70" s="299"/>
      <c r="B70" s="300"/>
      <c r="C70" s="77" t="s">
        <v>83</v>
      </c>
      <c r="D70" s="300"/>
      <c r="E70" s="321"/>
      <c r="F70" s="35">
        <f>+F68+F69</f>
        <v>0</v>
      </c>
      <c r="G70" s="35">
        <f t="shared" ref="G70" si="23">+G68+G69</f>
        <v>0</v>
      </c>
      <c r="H70" s="35">
        <f>+G70-F70</f>
        <v>0</v>
      </c>
      <c r="I70" s="47">
        <f>+ROUND(IF(H70&gt;0,H70*E68,0),4)</f>
        <v>0</v>
      </c>
      <c r="L70" s="65">
        <f>IFERROR(H70-'Nátok z PRDS'!H70,"N/A")</f>
        <v>0</v>
      </c>
    </row>
    <row r="71" spans="1:12" x14ac:dyDescent="0.3">
      <c r="A71" s="299"/>
      <c r="B71" s="300"/>
      <c r="C71" s="77" t="s">
        <v>84</v>
      </c>
      <c r="D71" s="300" t="s">
        <v>75</v>
      </c>
      <c r="E71" s="319">
        <v>0</v>
      </c>
      <c r="F71" s="39"/>
      <c r="G71" s="39"/>
      <c r="H71" s="35" t="s">
        <v>76</v>
      </c>
      <c r="I71" s="35" t="s">
        <v>76</v>
      </c>
      <c r="L71" s="65" t="str">
        <f>IFERROR(H71-'Nátok z PRDS'!H71,"N/A")</f>
        <v>N/A</v>
      </c>
    </row>
    <row r="72" spans="1:12" x14ac:dyDescent="0.3">
      <c r="A72" s="299"/>
      <c r="B72" s="300"/>
      <c r="C72" s="77" t="s">
        <v>77</v>
      </c>
      <c r="D72" s="300"/>
      <c r="E72" s="320"/>
      <c r="F72" s="39"/>
      <c r="G72" s="39"/>
      <c r="H72" s="35" t="s">
        <v>76</v>
      </c>
      <c r="I72" s="35" t="s">
        <v>76</v>
      </c>
      <c r="L72" s="65" t="str">
        <f>IFERROR(H72-'Nátok z PRDS'!H72,"N/A")</f>
        <v>N/A</v>
      </c>
    </row>
    <row r="73" spans="1:12" x14ac:dyDescent="0.3">
      <c r="A73" s="299"/>
      <c r="B73" s="300"/>
      <c r="C73" s="77" t="s">
        <v>85</v>
      </c>
      <c r="D73" s="300"/>
      <c r="E73" s="321"/>
      <c r="F73" s="35">
        <f>+F71+F72</f>
        <v>0</v>
      </c>
      <c r="G73" s="35">
        <f t="shared" ref="G73" si="24">+G71+G72</f>
        <v>0</v>
      </c>
      <c r="H73" s="35">
        <f>+G73-F73</f>
        <v>0</v>
      </c>
      <c r="I73" s="47">
        <f>+ROUND(IF(H73&gt;0,H73*E71,0),4)</f>
        <v>0</v>
      </c>
      <c r="L73" s="65">
        <f>IFERROR(H73-'Nátok z PRDS'!H73,"N/A")</f>
        <v>0</v>
      </c>
    </row>
    <row r="74" spans="1:12" x14ac:dyDescent="0.3">
      <c r="A74" s="299"/>
      <c r="B74" s="300"/>
      <c r="C74" s="77" t="s">
        <v>96</v>
      </c>
      <c r="D74" s="300" t="s">
        <v>75</v>
      </c>
      <c r="E74" s="319">
        <v>0</v>
      </c>
      <c r="F74" s="39"/>
      <c r="G74" s="39"/>
      <c r="H74" s="35" t="s">
        <v>76</v>
      </c>
      <c r="I74" s="35" t="s">
        <v>76</v>
      </c>
      <c r="L74" s="65" t="str">
        <f>IFERROR(H74-'Nátok z PRDS'!H74,"N/A")</f>
        <v>N/A</v>
      </c>
    </row>
    <row r="75" spans="1:12" x14ac:dyDescent="0.3">
      <c r="A75" s="299"/>
      <c r="B75" s="300"/>
      <c r="C75" s="77" t="s">
        <v>77</v>
      </c>
      <c r="D75" s="300"/>
      <c r="E75" s="320"/>
      <c r="F75" s="39"/>
      <c r="G75" s="39"/>
      <c r="H75" s="35" t="s">
        <v>76</v>
      </c>
      <c r="I75" s="35" t="s">
        <v>76</v>
      </c>
      <c r="L75" s="65" t="str">
        <f>IFERROR(H75-'Nátok z PRDS'!H75,"N/A")</f>
        <v>N/A</v>
      </c>
    </row>
    <row r="76" spans="1:12" x14ac:dyDescent="0.3">
      <c r="A76" s="299"/>
      <c r="B76" s="300"/>
      <c r="C76" s="77" t="s">
        <v>97</v>
      </c>
      <c r="D76" s="300"/>
      <c r="E76" s="321"/>
      <c r="F76" s="35">
        <f>+F74+F75</f>
        <v>0</v>
      </c>
      <c r="G76" s="35">
        <f t="shared" ref="G76" si="25">+G74+G75</f>
        <v>0</v>
      </c>
      <c r="H76" s="35">
        <f>+G76-F76</f>
        <v>0</v>
      </c>
      <c r="I76" s="47">
        <f>+ROUND(IF(H76&gt;0,H76*E74,0),4)</f>
        <v>0</v>
      </c>
      <c r="L76" s="65">
        <f>IFERROR(H76-'Nátok z PRDS'!H76,"N/A")</f>
        <v>0</v>
      </c>
    </row>
    <row r="77" spans="1:12" x14ac:dyDescent="0.3">
      <c r="A77" s="314" t="s">
        <v>71</v>
      </c>
      <c r="B77" s="315" t="s">
        <v>103</v>
      </c>
      <c r="C77" s="103" t="s">
        <v>73</v>
      </c>
      <c r="D77" s="110" t="s">
        <v>76</v>
      </c>
      <c r="E77" s="49" t="s">
        <v>76</v>
      </c>
      <c r="F77" s="49" t="s">
        <v>76</v>
      </c>
      <c r="G77" s="49" t="s">
        <v>76</v>
      </c>
      <c r="H77" s="49" t="s">
        <v>76</v>
      </c>
      <c r="I77" s="49">
        <f>+I5+I9+I10+I14+I21+I22+I29+I36+I43+I50+I57+I64</f>
        <v>0</v>
      </c>
      <c r="L77" s="65" t="str">
        <f>IFERROR(H77-'Nátok z PRDS'!H77,"N/A")</f>
        <v>N/A</v>
      </c>
    </row>
    <row r="78" spans="1:12" x14ac:dyDescent="0.3">
      <c r="A78" s="314"/>
      <c r="B78" s="315"/>
      <c r="C78" s="103" t="s">
        <v>78</v>
      </c>
      <c r="D78" s="110"/>
      <c r="E78" s="49">
        <f>SUM(E6,E11,E15,E18,E23,E26,E30,E33,E37,E40,E44,E47,E51,E54,E58,E61,E65,E68,E71,E74)</f>
        <v>0</v>
      </c>
      <c r="F78" s="49" t="s">
        <v>76</v>
      </c>
      <c r="G78" s="49" t="s">
        <v>76</v>
      </c>
      <c r="H78" s="49" t="s">
        <v>76</v>
      </c>
      <c r="I78" s="49">
        <f>+I8+I13+I17+I20+I25+I28+I32+I35+I39+I42+I46+I49+I53+I56+I60+I63+I67+I70+I73+I76</f>
        <v>0</v>
      </c>
      <c r="L78" s="65" t="str">
        <f>IFERROR(H78-'Nátok z PRDS'!H78,"N/A")</f>
        <v>N/A</v>
      </c>
    </row>
    <row r="79" spans="1:12" x14ac:dyDescent="0.3">
      <c r="A79" s="299" t="s">
        <v>104</v>
      </c>
      <c r="B79" s="300" t="s">
        <v>105</v>
      </c>
      <c r="C79" s="77" t="s">
        <v>106</v>
      </c>
      <c r="D79" s="114" t="s">
        <v>107</v>
      </c>
      <c r="E79" s="58"/>
      <c r="F79" s="39"/>
      <c r="G79" s="39"/>
      <c r="H79" s="35">
        <f>+G79-F79</f>
        <v>0</v>
      </c>
      <c r="I79" s="47">
        <f>+ROUND(IF(H79&gt;0,H79*E79,0),4)</f>
        <v>0</v>
      </c>
      <c r="L79" s="65">
        <f>IFERROR(H79-'Nátok z PRDS'!H79,"N/A")</f>
        <v>0</v>
      </c>
    </row>
    <row r="80" spans="1:12" x14ac:dyDescent="0.3">
      <c r="A80" s="299"/>
      <c r="B80" s="300"/>
      <c r="C80" s="77" t="s">
        <v>108</v>
      </c>
      <c r="D80" s="114" t="s">
        <v>109</v>
      </c>
      <c r="E80" s="58"/>
      <c r="F80" s="39"/>
      <c r="G80" s="39"/>
      <c r="H80" s="35">
        <f>+G80-F80</f>
        <v>0</v>
      </c>
      <c r="I80" s="47">
        <f>+ROUND(IF(H80&gt;0,H80*E80,0),4)</f>
        <v>0</v>
      </c>
      <c r="L80" s="65">
        <f>IFERROR(H80-'Nátok z PRDS'!H80,"N/A")</f>
        <v>0</v>
      </c>
    </row>
    <row r="81" spans="1:12" x14ac:dyDescent="0.3">
      <c r="A81" s="299"/>
      <c r="B81" s="300"/>
      <c r="C81" s="77" t="s">
        <v>74</v>
      </c>
      <c r="D81" s="300" t="s">
        <v>75</v>
      </c>
      <c r="E81" s="319">
        <f>+E82</f>
        <v>0</v>
      </c>
      <c r="F81" s="39"/>
      <c r="G81" s="39"/>
      <c r="H81" s="35" t="s">
        <v>76</v>
      </c>
      <c r="I81" s="35" t="s">
        <v>76</v>
      </c>
      <c r="L81" s="65" t="str">
        <f>IFERROR(H81-'Nátok z PRDS'!H81,"N/A")</f>
        <v>N/A</v>
      </c>
    </row>
    <row r="82" spans="1:12" x14ac:dyDescent="0.3">
      <c r="A82" s="299"/>
      <c r="B82" s="300"/>
      <c r="C82" s="77" t="s">
        <v>77</v>
      </c>
      <c r="D82" s="300"/>
      <c r="E82" s="320"/>
      <c r="F82" s="39"/>
      <c r="G82" s="39"/>
      <c r="H82" s="35" t="s">
        <v>76</v>
      </c>
      <c r="I82" s="35" t="s">
        <v>76</v>
      </c>
      <c r="L82" s="65" t="str">
        <f>IFERROR(H82-'Nátok z PRDS'!H82,"N/A")</f>
        <v>N/A</v>
      </c>
    </row>
    <row r="83" spans="1:12" x14ac:dyDescent="0.3">
      <c r="A83" s="299"/>
      <c r="B83" s="300"/>
      <c r="C83" s="77" t="s">
        <v>78</v>
      </c>
      <c r="D83" s="300"/>
      <c r="E83" s="321"/>
      <c r="F83" s="35">
        <f>+F81+F82</f>
        <v>0</v>
      </c>
      <c r="G83" s="35">
        <f t="shared" ref="G83" si="26">+G81+G82</f>
        <v>0</v>
      </c>
      <c r="H83" s="35">
        <f>+G83-F83</f>
        <v>0</v>
      </c>
      <c r="I83" s="47">
        <f>+ROUND(IF(H83&gt;0,H83*E81,0),4)</f>
        <v>0</v>
      </c>
      <c r="L83" s="65">
        <f>IFERROR(H83-'Nátok z PRDS'!H83,"N/A")</f>
        <v>0</v>
      </c>
    </row>
    <row r="84" spans="1:12" x14ac:dyDescent="0.3">
      <c r="A84" s="299" t="s">
        <v>104</v>
      </c>
      <c r="B84" s="300" t="s">
        <v>110</v>
      </c>
      <c r="C84" s="77" t="s">
        <v>106</v>
      </c>
      <c r="D84" s="114" t="s">
        <v>107</v>
      </c>
      <c r="E84" s="58"/>
      <c r="F84" s="39">
        <v>0.69089999999999996</v>
      </c>
      <c r="G84" s="39">
        <v>0.75760000000000005</v>
      </c>
      <c r="H84" s="35">
        <f>+G84-F84</f>
        <v>6.6700000000000093E-2</v>
      </c>
      <c r="I84" s="47">
        <f t="shared" ref="I84:I85" si="27">+ROUND(IF(H84&gt;0,H84*E84,0),4)</f>
        <v>0</v>
      </c>
      <c r="L84" s="65">
        <f>IFERROR(H84-'Nátok z PRDS'!H84,"N/A")</f>
        <v>6.6700000000000093E-2</v>
      </c>
    </row>
    <row r="85" spans="1:12" x14ac:dyDescent="0.3">
      <c r="A85" s="299"/>
      <c r="B85" s="300"/>
      <c r="C85" s="77" t="s">
        <v>108</v>
      </c>
      <c r="D85" s="114" t="s">
        <v>109</v>
      </c>
      <c r="E85" s="58"/>
      <c r="F85" s="39">
        <v>1.0497000000000001</v>
      </c>
      <c r="G85" s="39">
        <v>1.1511</v>
      </c>
      <c r="H85" s="35">
        <f>+G85-F85</f>
        <v>0.10139999999999993</v>
      </c>
      <c r="I85" s="47">
        <f t="shared" si="27"/>
        <v>0</v>
      </c>
      <c r="L85" s="65">
        <f>IFERROR(H85-'Nátok z PRDS'!H85,"N/A")</f>
        <v>0.10139999999999993</v>
      </c>
    </row>
    <row r="86" spans="1:12" x14ac:dyDescent="0.3">
      <c r="A86" s="299"/>
      <c r="B86" s="300"/>
      <c r="C86" s="77" t="s">
        <v>74</v>
      </c>
      <c r="D86" s="300" t="s">
        <v>75</v>
      </c>
      <c r="E86" s="319">
        <f>+E87</f>
        <v>0</v>
      </c>
      <c r="F86" s="39">
        <v>30.3</v>
      </c>
      <c r="G86" s="39">
        <v>32.9</v>
      </c>
      <c r="H86" s="35" t="s">
        <v>76</v>
      </c>
      <c r="I86" s="35" t="s">
        <v>76</v>
      </c>
      <c r="L86" s="65" t="str">
        <f>IFERROR(H86-'Nátok z PRDS'!H86,"N/A")</f>
        <v>N/A</v>
      </c>
    </row>
    <row r="87" spans="1:12" x14ac:dyDescent="0.3">
      <c r="A87" s="299"/>
      <c r="B87" s="300"/>
      <c r="C87" s="77" t="s">
        <v>77</v>
      </c>
      <c r="D87" s="300"/>
      <c r="E87" s="320"/>
      <c r="F87" s="39">
        <v>12.413</v>
      </c>
      <c r="G87" s="39">
        <v>16.244</v>
      </c>
      <c r="H87" s="35" t="s">
        <v>76</v>
      </c>
      <c r="I87" s="35" t="s">
        <v>76</v>
      </c>
      <c r="L87" s="65" t="str">
        <f>IFERROR(H87-'Nátok z PRDS'!H87,"N/A")</f>
        <v>N/A</v>
      </c>
    </row>
    <row r="88" spans="1:12" x14ac:dyDescent="0.3">
      <c r="A88" s="299"/>
      <c r="B88" s="300"/>
      <c r="C88" s="77" t="s">
        <v>78</v>
      </c>
      <c r="D88" s="300"/>
      <c r="E88" s="321"/>
      <c r="F88" s="35">
        <f>+F86+F87</f>
        <v>42.713000000000001</v>
      </c>
      <c r="G88" s="35">
        <f t="shared" ref="G88" si="28">+G86+G87</f>
        <v>49.143999999999998</v>
      </c>
      <c r="H88" s="35">
        <f>+G88-F88</f>
        <v>6.4309999999999974</v>
      </c>
      <c r="I88" s="47">
        <f>+ROUND(IF(H88&gt;0,H88*E86,0),4)</f>
        <v>0</v>
      </c>
      <c r="L88" s="65">
        <f>IFERROR(H88-'Nátok z PRDS'!H88,"N/A")</f>
        <v>6.4309999999999974</v>
      </c>
    </row>
    <row r="89" spans="1:12" x14ac:dyDescent="0.3">
      <c r="A89" s="299" t="s">
        <v>104</v>
      </c>
      <c r="B89" s="300" t="s">
        <v>111</v>
      </c>
      <c r="C89" s="77" t="s">
        <v>106</v>
      </c>
      <c r="D89" s="114" t="s">
        <v>107</v>
      </c>
      <c r="E89" s="58"/>
      <c r="F89" s="39"/>
      <c r="G89" s="39"/>
      <c r="H89" s="35">
        <f>+G89-F89</f>
        <v>0</v>
      </c>
      <c r="I89" s="47">
        <f t="shared" ref="I89:I90" si="29">+ROUND(IF(H89&gt;0,H89*E89,0),4)</f>
        <v>0</v>
      </c>
      <c r="L89" s="65">
        <f>IFERROR(H89-'Nátok z PRDS'!H89,"N/A")</f>
        <v>0</v>
      </c>
    </row>
    <row r="90" spans="1:12" x14ac:dyDescent="0.3">
      <c r="A90" s="299"/>
      <c r="B90" s="300"/>
      <c r="C90" s="77" t="s">
        <v>108</v>
      </c>
      <c r="D90" s="114" t="s">
        <v>109</v>
      </c>
      <c r="E90" s="58"/>
      <c r="F90" s="39"/>
      <c r="G90" s="39"/>
      <c r="H90" s="35">
        <f>+G90-F90</f>
        <v>0</v>
      </c>
      <c r="I90" s="47">
        <f t="shared" si="29"/>
        <v>0</v>
      </c>
      <c r="L90" s="65">
        <f>IFERROR(H90-'Nátok z PRDS'!H90,"N/A")</f>
        <v>0</v>
      </c>
    </row>
    <row r="91" spans="1:12" x14ac:dyDescent="0.3">
      <c r="A91" s="299"/>
      <c r="B91" s="300"/>
      <c r="C91" s="77" t="s">
        <v>74</v>
      </c>
      <c r="D91" s="300" t="s">
        <v>75</v>
      </c>
      <c r="E91" s="319">
        <f>+E92</f>
        <v>0</v>
      </c>
      <c r="F91" s="39"/>
      <c r="G91" s="39"/>
      <c r="H91" s="35" t="s">
        <v>76</v>
      </c>
      <c r="I91" s="35" t="s">
        <v>76</v>
      </c>
      <c r="L91" s="65" t="str">
        <f>IFERROR(H91-'Nátok z PRDS'!H91,"N/A")</f>
        <v>N/A</v>
      </c>
    </row>
    <row r="92" spans="1:12" x14ac:dyDescent="0.3">
      <c r="A92" s="299"/>
      <c r="B92" s="300"/>
      <c r="C92" s="77" t="s">
        <v>77</v>
      </c>
      <c r="D92" s="300"/>
      <c r="E92" s="320"/>
      <c r="F92" s="39"/>
      <c r="G92" s="39"/>
      <c r="H92" s="35" t="s">
        <v>76</v>
      </c>
      <c r="I92" s="35" t="s">
        <v>76</v>
      </c>
      <c r="L92" s="65" t="str">
        <f>IFERROR(H92-'Nátok z PRDS'!H92,"N/A")</f>
        <v>N/A</v>
      </c>
    </row>
    <row r="93" spans="1:12" x14ac:dyDescent="0.3">
      <c r="A93" s="299"/>
      <c r="B93" s="300"/>
      <c r="C93" s="77" t="s">
        <v>78</v>
      </c>
      <c r="D93" s="300"/>
      <c r="E93" s="321"/>
      <c r="F93" s="35">
        <f>+F91+F92</f>
        <v>0</v>
      </c>
      <c r="G93" s="35">
        <f t="shared" ref="G93" si="30">+G91+G92</f>
        <v>0</v>
      </c>
      <c r="H93" s="35">
        <f>+G93-F93</f>
        <v>0</v>
      </c>
      <c r="I93" s="47">
        <f>+ROUND(IF(H93&gt;0,H93*E91,0),4)</f>
        <v>0</v>
      </c>
      <c r="L93" s="65">
        <f>IFERROR(H93-'Nátok z PRDS'!H93,"N/A")</f>
        <v>0</v>
      </c>
    </row>
    <row r="94" spans="1:12" x14ac:dyDescent="0.3">
      <c r="A94" s="299" t="s">
        <v>104</v>
      </c>
      <c r="B94" s="300" t="s">
        <v>112</v>
      </c>
      <c r="C94" s="77" t="s">
        <v>106</v>
      </c>
      <c r="D94" s="114" t="s">
        <v>107</v>
      </c>
      <c r="E94" s="58"/>
      <c r="F94" s="39"/>
      <c r="G94" s="39"/>
      <c r="H94" s="35">
        <f>+G94-F94</f>
        <v>0</v>
      </c>
      <c r="I94" s="47">
        <f>+ROUND(IF(H94&gt;0,H94*E94,0),4)</f>
        <v>0</v>
      </c>
      <c r="L94" s="65">
        <f>IFERROR(H94-'Nátok z PRDS'!H94,"N/A")</f>
        <v>0</v>
      </c>
    </row>
    <row r="95" spans="1:12" x14ac:dyDescent="0.3">
      <c r="A95" s="299"/>
      <c r="B95" s="300"/>
      <c r="C95" s="77" t="s">
        <v>108</v>
      </c>
      <c r="D95" s="114" t="s">
        <v>109</v>
      </c>
      <c r="E95" s="58"/>
      <c r="F95" s="39"/>
      <c r="G95" s="39"/>
      <c r="H95" s="35">
        <f>+G95-F95</f>
        <v>0</v>
      </c>
      <c r="I95" s="47">
        <f>+ROUND(IF(H95&gt;0,H95*E95,0),4)</f>
        <v>0</v>
      </c>
      <c r="L95" s="65">
        <f>IFERROR(H95-'Nátok z PRDS'!H95,"N/A")</f>
        <v>0</v>
      </c>
    </row>
    <row r="96" spans="1:12" x14ac:dyDescent="0.3">
      <c r="A96" s="299"/>
      <c r="B96" s="300"/>
      <c r="C96" s="77" t="s">
        <v>82</v>
      </c>
      <c r="D96" s="300" t="s">
        <v>75</v>
      </c>
      <c r="E96" s="319">
        <v>0</v>
      </c>
      <c r="F96" s="39"/>
      <c r="G96" s="39"/>
      <c r="H96" s="35" t="s">
        <v>76</v>
      </c>
      <c r="I96" s="35" t="s">
        <v>76</v>
      </c>
      <c r="L96" s="65" t="str">
        <f>IFERROR(H96-'Nátok z PRDS'!H96,"N/A")</f>
        <v>N/A</v>
      </c>
    </row>
    <row r="97" spans="1:12" x14ac:dyDescent="0.3">
      <c r="A97" s="299"/>
      <c r="B97" s="300"/>
      <c r="C97" s="77" t="s">
        <v>77</v>
      </c>
      <c r="D97" s="300"/>
      <c r="E97" s="320"/>
      <c r="F97" s="39"/>
      <c r="G97" s="39"/>
      <c r="H97" s="35" t="s">
        <v>76</v>
      </c>
      <c r="I97" s="35" t="s">
        <v>76</v>
      </c>
      <c r="L97" s="65" t="str">
        <f>IFERROR(H97-'Nátok z PRDS'!H97,"N/A")</f>
        <v>N/A</v>
      </c>
    </row>
    <row r="98" spans="1:12" x14ac:dyDescent="0.3">
      <c r="A98" s="299"/>
      <c r="B98" s="300"/>
      <c r="C98" s="77" t="s">
        <v>83</v>
      </c>
      <c r="D98" s="300"/>
      <c r="E98" s="321"/>
      <c r="F98" s="35">
        <f>+F96+F97</f>
        <v>0</v>
      </c>
      <c r="G98" s="35">
        <f t="shared" ref="G98" si="31">+G96+G97</f>
        <v>0</v>
      </c>
      <c r="H98" s="35">
        <f>+G98-F98</f>
        <v>0</v>
      </c>
      <c r="I98" s="47">
        <f>+ROUND(IF(H98&gt;0,H98*E96,0),4)</f>
        <v>0</v>
      </c>
      <c r="L98" s="65">
        <f>IFERROR(H98-'Nátok z PRDS'!H98,"N/A")</f>
        <v>0</v>
      </c>
    </row>
    <row r="99" spans="1:12" x14ac:dyDescent="0.3">
      <c r="A99" s="299"/>
      <c r="B99" s="300"/>
      <c r="C99" s="77" t="s">
        <v>84</v>
      </c>
      <c r="D99" s="300" t="s">
        <v>75</v>
      </c>
      <c r="E99" s="319">
        <v>0</v>
      </c>
      <c r="F99" s="39"/>
      <c r="G99" s="39"/>
      <c r="H99" s="35" t="s">
        <v>76</v>
      </c>
      <c r="I99" s="35" t="s">
        <v>76</v>
      </c>
      <c r="L99" s="65" t="str">
        <f>IFERROR(H99-'Nátok z PRDS'!H99,"N/A")</f>
        <v>N/A</v>
      </c>
    </row>
    <row r="100" spans="1:12" x14ac:dyDescent="0.3">
      <c r="A100" s="299"/>
      <c r="B100" s="300"/>
      <c r="C100" s="77" t="s">
        <v>77</v>
      </c>
      <c r="D100" s="300"/>
      <c r="E100" s="320"/>
      <c r="F100" s="39"/>
      <c r="G100" s="39"/>
      <c r="H100" s="35" t="s">
        <v>76</v>
      </c>
      <c r="I100" s="35" t="s">
        <v>76</v>
      </c>
      <c r="L100" s="65" t="str">
        <f>IFERROR(H100-'Nátok z PRDS'!H100,"N/A")</f>
        <v>N/A</v>
      </c>
    </row>
    <row r="101" spans="1:12" x14ac:dyDescent="0.3">
      <c r="A101" s="299"/>
      <c r="B101" s="300"/>
      <c r="C101" s="77" t="s">
        <v>85</v>
      </c>
      <c r="D101" s="300"/>
      <c r="E101" s="321"/>
      <c r="F101" s="35">
        <f>+F99+F100</f>
        <v>0</v>
      </c>
      <c r="G101" s="35">
        <f t="shared" ref="G101" si="32">+G99+G100</f>
        <v>0</v>
      </c>
      <c r="H101" s="35">
        <f>+G101-F101</f>
        <v>0</v>
      </c>
      <c r="I101" s="47">
        <f>+ROUND(IF(H101&gt;0,H101*E99,0),4)</f>
        <v>0</v>
      </c>
      <c r="L101" s="65">
        <f>IFERROR(H101-'Nátok z PRDS'!H101,"N/A")</f>
        <v>0</v>
      </c>
    </row>
    <row r="102" spans="1:12" x14ac:dyDescent="0.3">
      <c r="A102" s="299" t="s">
        <v>104</v>
      </c>
      <c r="B102" s="300" t="s">
        <v>113</v>
      </c>
      <c r="C102" s="77" t="s">
        <v>106</v>
      </c>
      <c r="D102" s="114" t="s">
        <v>107</v>
      </c>
      <c r="E102" s="58"/>
      <c r="F102" s="39"/>
      <c r="G102" s="39"/>
      <c r="H102" s="35">
        <f>+G102-F102</f>
        <v>0</v>
      </c>
      <c r="I102" s="47">
        <f t="shared" ref="I102" si="33">+ROUND(IF(H102&gt;0,H102*E102,0),4)</f>
        <v>0</v>
      </c>
      <c r="L102" s="65">
        <f>IFERROR(H102-'Nátok z PRDS'!H102,"N/A")</f>
        <v>0</v>
      </c>
    </row>
    <row r="103" spans="1:12" x14ac:dyDescent="0.3">
      <c r="A103" s="299"/>
      <c r="B103" s="300"/>
      <c r="C103" s="77" t="s">
        <v>108</v>
      </c>
      <c r="D103" s="114" t="s">
        <v>109</v>
      </c>
      <c r="E103" s="58"/>
      <c r="F103" s="39"/>
      <c r="G103" s="39"/>
      <c r="H103" s="35">
        <f>+G103-F103</f>
        <v>0</v>
      </c>
      <c r="I103" s="47">
        <f>+ROUND(IF(H103&gt;0,H103*E103,0),4)</f>
        <v>0</v>
      </c>
      <c r="L103" s="65">
        <f>IFERROR(H103-'Nátok z PRDS'!H103,"N/A")</f>
        <v>0</v>
      </c>
    </row>
    <row r="104" spans="1:12" x14ac:dyDescent="0.3">
      <c r="A104" s="299"/>
      <c r="B104" s="300"/>
      <c r="C104" s="77" t="s">
        <v>82</v>
      </c>
      <c r="D104" s="300" t="s">
        <v>75</v>
      </c>
      <c r="E104" s="319">
        <v>0</v>
      </c>
      <c r="F104" s="39"/>
      <c r="G104" s="39"/>
      <c r="H104" s="35" t="s">
        <v>76</v>
      </c>
      <c r="I104" s="35" t="s">
        <v>76</v>
      </c>
      <c r="L104" s="65" t="str">
        <f>IFERROR(H104-'Nátok z PRDS'!H104,"N/A")</f>
        <v>N/A</v>
      </c>
    </row>
    <row r="105" spans="1:12" x14ac:dyDescent="0.3">
      <c r="A105" s="299"/>
      <c r="B105" s="300"/>
      <c r="C105" s="77" t="s">
        <v>77</v>
      </c>
      <c r="D105" s="300"/>
      <c r="E105" s="320"/>
      <c r="F105" s="39"/>
      <c r="G105" s="39"/>
      <c r="H105" s="35" t="s">
        <v>76</v>
      </c>
      <c r="I105" s="35" t="s">
        <v>76</v>
      </c>
      <c r="L105" s="65" t="str">
        <f>IFERROR(H105-'Nátok z PRDS'!H105,"N/A")</f>
        <v>N/A</v>
      </c>
    </row>
    <row r="106" spans="1:12" x14ac:dyDescent="0.3">
      <c r="A106" s="299"/>
      <c r="B106" s="300"/>
      <c r="C106" s="77" t="s">
        <v>83</v>
      </c>
      <c r="D106" s="300"/>
      <c r="E106" s="321"/>
      <c r="F106" s="35">
        <f>+F104+F105</f>
        <v>0</v>
      </c>
      <c r="G106" s="35">
        <f t="shared" ref="G106" si="34">+G104+G105</f>
        <v>0</v>
      </c>
      <c r="H106" s="35">
        <f>+G106-F106</f>
        <v>0</v>
      </c>
      <c r="I106" s="47">
        <f>+ROUND(IF(H106&gt;0,H106*E104,0),4)</f>
        <v>0</v>
      </c>
      <c r="L106" s="65">
        <f>IFERROR(H106-'Nátok z PRDS'!H106,"N/A")</f>
        <v>0</v>
      </c>
    </row>
    <row r="107" spans="1:12" x14ac:dyDescent="0.3">
      <c r="A107" s="299"/>
      <c r="B107" s="300"/>
      <c r="C107" s="77" t="s">
        <v>84</v>
      </c>
      <c r="D107" s="300" t="s">
        <v>75</v>
      </c>
      <c r="E107" s="319">
        <v>0</v>
      </c>
      <c r="F107" s="39"/>
      <c r="G107" s="39"/>
      <c r="H107" s="35" t="s">
        <v>76</v>
      </c>
      <c r="I107" s="35" t="s">
        <v>76</v>
      </c>
      <c r="L107" s="65" t="str">
        <f>IFERROR(H107-'Nátok z PRDS'!H107,"N/A")</f>
        <v>N/A</v>
      </c>
    </row>
    <row r="108" spans="1:12" x14ac:dyDescent="0.3">
      <c r="A108" s="299"/>
      <c r="B108" s="300"/>
      <c r="C108" s="77" t="s">
        <v>77</v>
      </c>
      <c r="D108" s="300"/>
      <c r="E108" s="320"/>
      <c r="F108" s="39"/>
      <c r="G108" s="39"/>
      <c r="H108" s="35" t="s">
        <v>76</v>
      </c>
      <c r="I108" s="35" t="s">
        <v>76</v>
      </c>
      <c r="L108" s="65" t="str">
        <f>IFERROR(H108-'Nátok z PRDS'!H108,"N/A")</f>
        <v>N/A</v>
      </c>
    </row>
    <row r="109" spans="1:12" x14ac:dyDescent="0.3">
      <c r="A109" s="299"/>
      <c r="B109" s="300"/>
      <c r="C109" s="77" t="s">
        <v>85</v>
      </c>
      <c r="D109" s="300"/>
      <c r="E109" s="321"/>
      <c r="F109" s="35">
        <f>+F107+F108</f>
        <v>0</v>
      </c>
      <c r="G109" s="35">
        <f t="shared" ref="G109" si="35">+G107+G108</f>
        <v>0</v>
      </c>
      <c r="H109" s="35">
        <f>+G109-F109</f>
        <v>0</v>
      </c>
      <c r="I109" s="47">
        <f>+ROUND(IF(H109&gt;0,H109*E107,0),4)</f>
        <v>0</v>
      </c>
      <c r="L109" s="65">
        <f>IFERROR(H109-'Nátok z PRDS'!H109,"N/A")</f>
        <v>0</v>
      </c>
    </row>
    <row r="110" spans="1:12" x14ac:dyDescent="0.3">
      <c r="A110" s="299" t="s">
        <v>104</v>
      </c>
      <c r="B110" s="300" t="s">
        <v>114</v>
      </c>
      <c r="C110" s="77" t="s">
        <v>106</v>
      </c>
      <c r="D110" s="114" t="s">
        <v>107</v>
      </c>
      <c r="E110" s="58"/>
      <c r="F110" s="39"/>
      <c r="G110" s="39"/>
      <c r="H110" s="35">
        <f>+G110-F110</f>
        <v>0</v>
      </c>
      <c r="I110" s="47">
        <f>+ROUND(IF(H110&gt;0,H110*E110,0),4)</f>
        <v>0</v>
      </c>
      <c r="L110" s="65">
        <f>IFERROR(H110-'Nátok z PRDS'!H110,"N/A")</f>
        <v>0</v>
      </c>
    </row>
    <row r="111" spans="1:12" x14ac:dyDescent="0.3">
      <c r="A111" s="299"/>
      <c r="B111" s="300"/>
      <c r="C111" s="77" t="s">
        <v>108</v>
      </c>
      <c r="D111" s="114" t="s">
        <v>109</v>
      </c>
      <c r="E111" s="58"/>
      <c r="F111" s="39"/>
      <c r="G111" s="39"/>
      <c r="H111" s="35">
        <f>+G111-F111</f>
        <v>0</v>
      </c>
      <c r="I111" s="47">
        <f>+ROUND(IF(H111&gt;0,H111*E111,0),4)</f>
        <v>0</v>
      </c>
      <c r="L111" s="65">
        <f>IFERROR(H111-'Nátok z PRDS'!H111,"N/A")</f>
        <v>0</v>
      </c>
    </row>
    <row r="112" spans="1:12" x14ac:dyDescent="0.3">
      <c r="A112" s="299"/>
      <c r="B112" s="300"/>
      <c r="C112" s="77" t="s">
        <v>82</v>
      </c>
      <c r="D112" s="300" t="s">
        <v>75</v>
      </c>
      <c r="E112" s="319">
        <v>0</v>
      </c>
      <c r="F112" s="39"/>
      <c r="G112" s="39"/>
      <c r="H112" s="35" t="s">
        <v>76</v>
      </c>
      <c r="I112" s="35" t="s">
        <v>76</v>
      </c>
      <c r="L112" s="65" t="str">
        <f>IFERROR(H112-'Nátok z PRDS'!H112,"N/A")</f>
        <v>N/A</v>
      </c>
    </row>
    <row r="113" spans="1:12" x14ac:dyDescent="0.3">
      <c r="A113" s="299"/>
      <c r="B113" s="300"/>
      <c r="C113" s="77" t="s">
        <v>77</v>
      </c>
      <c r="D113" s="300"/>
      <c r="E113" s="320"/>
      <c r="F113" s="39"/>
      <c r="G113" s="39"/>
      <c r="H113" s="35" t="s">
        <v>76</v>
      </c>
      <c r="I113" s="35" t="s">
        <v>76</v>
      </c>
      <c r="L113" s="65" t="str">
        <f>IFERROR(H113-'Nátok z PRDS'!H113,"N/A")</f>
        <v>N/A</v>
      </c>
    </row>
    <row r="114" spans="1:12" x14ac:dyDescent="0.3">
      <c r="A114" s="299"/>
      <c r="B114" s="300"/>
      <c r="C114" s="77" t="s">
        <v>83</v>
      </c>
      <c r="D114" s="300"/>
      <c r="E114" s="321"/>
      <c r="F114" s="35">
        <f>+F112+F113</f>
        <v>0</v>
      </c>
      <c r="G114" s="35">
        <f t="shared" ref="G114" si="36">+G112+G113</f>
        <v>0</v>
      </c>
      <c r="H114" s="35">
        <f>+G114-F114</f>
        <v>0</v>
      </c>
      <c r="I114" s="47">
        <f>+ROUND(IF(H114&gt;0,H114*E112,0),4)</f>
        <v>0</v>
      </c>
      <c r="L114" s="65">
        <f>IFERROR(H114-'Nátok z PRDS'!H114,"N/A")</f>
        <v>0</v>
      </c>
    </row>
    <row r="115" spans="1:12" x14ac:dyDescent="0.3">
      <c r="A115" s="299"/>
      <c r="B115" s="300"/>
      <c r="C115" s="77" t="s">
        <v>84</v>
      </c>
      <c r="D115" s="300" t="s">
        <v>75</v>
      </c>
      <c r="E115" s="319">
        <v>0</v>
      </c>
      <c r="F115" s="39"/>
      <c r="G115" s="39"/>
      <c r="H115" s="35" t="s">
        <v>76</v>
      </c>
      <c r="I115" s="35" t="s">
        <v>76</v>
      </c>
      <c r="L115" s="65" t="str">
        <f>IFERROR(H115-'Nátok z PRDS'!H115,"N/A")</f>
        <v>N/A</v>
      </c>
    </row>
    <row r="116" spans="1:12" x14ac:dyDescent="0.3">
      <c r="A116" s="299"/>
      <c r="B116" s="300"/>
      <c r="C116" s="77" t="s">
        <v>77</v>
      </c>
      <c r="D116" s="300"/>
      <c r="E116" s="320"/>
      <c r="F116" s="39"/>
      <c r="G116" s="39"/>
      <c r="H116" s="35" t="s">
        <v>76</v>
      </c>
      <c r="I116" s="35" t="s">
        <v>76</v>
      </c>
      <c r="L116" s="65" t="str">
        <f>IFERROR(H116-'Nátok z PRDS'!H116,"N/A")</f>
        <v>N/A</v>
      </c>
    </row>
    <row r="117" spans="1:12" x14ac:dyDescent="0.3">
      <c r="A117" s="299"/>
      <c r="B117" s="300"/>
      <c r="C117" s="77" t="s">
        <v>85</v>
      </c>
      <c r="D117" s="300"/>
      <c r="E117" s="321"/>
      <c r="F117" s="35">
        <f>+F115+F116</f>
        <v>0</v>
      </c>
      <c r="G117" s="35">
        <f t="shared" ref="G117" si="37">+G115+G116</f>
        <v>0</v>
      </c>
      <c r="H117" s="35">
        <f>+G117-F117</f>
        <v>0</v>
      </c>
      <c r="I117" s="47">
        <f>+ROUND(IF(H117&gt;0,H117*E115,0),4)</f>
        <v>0</v>
      </c>
      <c r="L117" s="65">
        <f>IFERROR(H117-'Nátok z PRDS'!H117,"N/A")</f>
        <v>0</v>
      </c>
    </row>
    <row r="118" spans="1:12" x14ac:dyDescent="0.3">
      <c r="A118" s="299" t="s">
        <v>104</v>
      </c>
      <c r="B118" s="300" t="s">
        <v>115</v>
      </c>
      <c r="C118" s="77" t="s">
        <v>106</v>
      </c>
      <c r="D118" s="114" t="s">
        <v>107</v>
      </c>
      <c r="E118" s="58"/>
      <c r="F118" s="39"/>
      <c r="G118" s="39"/>
      <c r="H118" s="35">
        <f>+G118-F118</f>
        <v>0</v>
      </c>
      <c r="I118" s="47">
        <f>+ROUND(IF(H118&gt;0,H118*E118,0),4)</f>
        <v>0</v>
      </c>
      <c r="L118" s="65">
        <f>IFERROR(H118-'Nátok z PRDS'!H118,"N/A")</f>
        <v>0</v>
      </c>
    </row>
    <row r="119" spans="1:12" x14ac:dyDescent="0.3">
      <c r="A119" s="299"/>
      <c r="B119" s="300"/>
      <c r="C119" s="77" t="s">
        <v>108</v>
      </c>
      <c r="D119" s="114" t="s">
        <v>109</v>
      </c>
      <c r="E119" s="58"/>
      <c r="F119" s="39"/>
      <c r="G119" s="39"/>
      <c r="H119" s="35">
        <f>+G119-F119</f>
        <v>0</v>
      </c>
      <c r="I119" s="47">
        <f>+ROUND(IF(H119&gt;0,H119*E119,0),4)</f>
        <v>0</v>
      </c>
      <c r="L119" s="65">
        <f>IFERROR(H119-'Nátok z PRDS'!H119,"N/A")</f>
        <v>0</v>
      </c>
    </row>
    <row r="120" spans="1:12" x14ac:dyDescent="0.3">
      <c r="A120" s="299"/>
      <c r="B120" s="300"/>
      <c r="C120" s="77" t="s">
        <v>82</v>
      </c>
      <c r="D120" s="300" t="s">
        <v>75</v>
      </c>
      <c r="E120" s="319">
        <v>0</v>
      </c>
      <c r="F120" s="39"/>
      <c r="G120" s="39"/>
      <c r="H120" s="35" t="s">
        <v>76</v>
      </c>
      <c r="I120" s="35" t="s">
        <v>76</v>
      </c>
      <c r="L120" s="65" t="str">
        <f>IFERROR(H120-'Nátok z PRDS'!H120,"N/A")</f>
        <v>N/A</v>
      </c>
    </row>
    <row r="121" spans="1:12" x14ac:dyDescent="0.3">
      <c r="A121" s="299"/>
      <c r="B121" s="300"/>
      <c r="C121" s="77" t="s">
        <v>77</v>
      </c>
      <c r="D121" s="300"/>
      <c r="E121" s="320"/>
      <c r="F121" s="39"/>
      <c r="G121" s="39"/>
      <c r="H121" s="35" t="s">
        <v>76</v>
      </c>
      <c r="I121" s="35" t="s">
        <v>76</v>
      </c>
      <c r="L121" s="65" t="str">
        <f>IFERROR(H121-'Nátok z PRDS'!H121,"N/A")</f>
        <v>N/A</v>
      </c>
    </row>
    <row r="122" spans="1:12" x14ac:dyDescent="0.3">
      <c r="A122" s="299"/>
      <c r="B122" s="300"/>
      <c r="C122" s="77" t="s">
        <v>83</v>
      </c>
      <c r="D122" s="300"/>
      <c r="E122" s="321"/>
      <c r="F122" s="35">
        <f>+F120+F121</f>
        <v>0</v>
      </c>
      <c r="G122" s="35">
        <f t="shared" ref="G122" si="38">+G120+G121</f>
        <v>0</v>
      </c>
      <c r="H122" s="35">
        <f>+G122-F122</f>
        <v>0</v>
      </c>
      <c r="I122" s="47">
        <f>+ROUND(IF(H122&gt;0,H122*E120,0),4)</f>
        <v>0</v>
      </c>
      <c r="L122" s="65">
        <f>IFERROR(H122-'Nátok z PRDS'!H122,"N/A")</f>
        <v>0</v>
      </c>
    </row>
    <row r="123" spans="1:12" x14ac:dyDescent="0.3">
      <c r="A123" s="299"/>
      <c r="B123" s="300"/>
      <c r="C123" s="77" t="s">
        <v>84</v>
      </c>
      <c r="D123" s="300" t="s">
        <v>75</v>
      </c>
      <c r="E123" s="319">
        <v>0</v>
      </c>
      <c r="F123" s="39"/>
      <c r="G123" s="39"/>
      <c r="H123" s="35" t="s">
        <v>76</v>
      </c>
      <c r="I123" s="35" t="s">
        <v>76</v>
      </c>
      <c r="L123" s="65" t="str">
        <f>IFERROR(H123-'Nátok z PRDS'!H123,"N/A")</f>
        <v>N/A</v>
      </c>
    </row>
    <row r="124" spans="1:12" x14ac:dyDescent="0.3">
      <c r="A124" s="299"/>
      <c r="B124" s="300"/>
      <c r="C124" s="77" t="s">
        <v>77</v>
      </c>
      <c r="D124" s="300"/>
      <c r="E124" s="320"/>
      <c r="F124" s="39"/>
      <c r="G124" s="39"/>
      <c r="H124" s="35" t="s">
        <v>76</v>
      </c>
      <c r="I124" s="35" t="s">
        <v>76</v>
      </c>
      <c r="L124" s="65" t="str">
        <f>IFERROR(H124-'Nátok z PRDS'!H124,"N/A")</f>
        <v>N/A</v>
      </c>
    </row>
    <row r="125" spans="1:12" x14ac:dyDescent="0.3">
      <c r="A125" s="299"/>
      <c r="B125" s="300"/>
      <c r="C125" s="77" t="s">
        <v>85</v>
      </c>
      <c r="D125" s="300"/>
      <c r="E125" s="321"/>
      <c r="F125" s="35">
        <f>+F123+F124</f>
        <v>0</v>
      </c>
      <c r="G125" s="35">
        <f t="shared" ref="G125" si="39">+G123+G124</f>
        <v>0</v>
      </c>
      <c r="H125" s="35">
        <f>+G125-F125</f>
        <v>0</v>
      </c>
      <c r="I125" s="47">
        <f>+ROUND(IF(H125&gt;0,H125*E123,0),4)</f>
        <v>0</v>
      </c>
      <c r="L125" s="65">
        <f>IFERROR(H125-'Nátok z PRDS'!H125,"N/A")</f>
        <v>0</v>
      </c>
    </row>
    <row r="126" spans="1:12" x14ac:dyDescent="0.3">
      <c r="A126" s="299" t="s">
        <v>104</v>
      </c>
      <c r="B126" s="300" t="s">
        <v>116</v>
      </c>
      <c r="C126" s="77" t="s">
        <v>106</v>
      </c>
      <c r="D126" s="114" t="s">
        <v>107</v>
      </c>
      <c r="E126" s="58"/>
      <c r="F126" s="39"/>
      <c r="G126" s="39"/>
      <c r="H126" s="35">
        <f>+G126-F126</f>
        <v>0</v>
      </c>
      <c r="I126" s="47">
        <f>+ROUND(IF(H126&gt;0,H126*E126,0),4)</f>
        <v>0</v>
      </c>
      <c r="L126" s="65">
        <f>IFERROR(H126-'Nátok z PRDS'!H126,"N/A")</f>
        <v>0</v>
      </c>
    </row>
    <row r="127" spans="1:12" x14ac:dyDescent="0.3">
      <c r="A127" s="299"/>
      <c r="B127" s="300"/>
      <c r="C127" s="77" t="s">
        <v>108</v>
      </c>
      <c r="D127" s="114" t="s">
        <v>109</v>
      </c>
      <c r="E127" s="58"/>
      <c r="F127" s="39"/>
      <c r="G127" s="39"/>
      <c r="H127" s="35">
        <f>+G127-F127</f>
        <v>0</v>
      </c>
      <c r="I127" s="47">
        <f>+ROUND(IF(H127&gt;0,H127*E127,0),4)</f>
        <v>0</v>
      </c>
      <c r="L127" s="65">
        <f>IFERROR(H127-'Nátok z PRDS'!H127,"N/A")</f>
        <v>0</v>
      </c>
    </row>
    <row r="128" spans="1:12" x14ac:dyDescent="0.3">
      <c r="A128" s="299"/>
      <c r="B128" s="300"/>
      <c r="C128" s="77" t="s">
        <v>82</v>
      </c>
      <c r="D128" s="300" t="s">
        <v>75</v>
      </c>
      <c r="E128" s="319">
        <v>0</v>
      </c>
      <c r="F128" s="39"/>
      <c r="G128" s="39"/>
      <c r="H128" s="35" t="s">
        <v>76</v>
      </c>
      <c r="I128" s="35" t="s">
        <v>76</v>
      </c>
      <c r="L128" s="65" t="str">
        <f>IFERROR(H128-'Nátok z PRDS'!H128,"N/A")</f>
        <v>N/A</v>
      </c>
    </row>
    <row r="129" spans="1:12" x14ac:dyDescent="0.3">
      <c r="A129" s="299"/>
      <c r="B129" s="300"/>
      <c r="C129" s="77" t="s">
        <v>77</v>
      </c>
      <c r="D129" s="300"/>
      <c r="E129" s="320"/>
      <c r="F129" s="39"/>
      <c r="G129" s="39"/>
      <c r="H129" s="35" t="s">
        <v>76</v>
      </c>
      <c r="I129" s="35" t="s">
        <v>76</v>
      </c>
      <c r="L129" s="65" t="str">
        <f>IFERROR(H129-'Nátok z PRDS'!H129,"N/A")</f>
        <v>N/A</v>
      </c>
    </row>
    <row r="130" spans="1:12" x14ac:dyDescent="0.3">
      <c r="A130" s="299"/>
      <c r="B130" s="300"/>
      <c r="C130" s="77" t="s">
        <v>83</v>
      </c>
      <c r="D130" s="300"/>
      <c r="E130" s="321"/>
      <c r="F130" s="35">
        <f>+F128+F129</f>
        <v>0</v>
      </c>
      <c r="G130" s="35">
        <f t="shared" ref="G130" si="40">+G128+G129</f>
        <v>0</v>
      </c>
      <c r="H130" s="35">
        <f>+G130-F130</f>
        <v>0</v>
      </c>
      <c r="I130" s="47">
        <f>+ROUND(IF(H130&gt;0,H130*E128,0),4)</f>
        <v>0</v>
      </c>
      <c r="L130" s="65">
        <f>IFERROR(H130-'Nátok z PRDS'!H130,"N/A")</f>
        <v>0</v>
      </c>
    </row>
    <row r="131" spans="1:12" x14ac:dyDescent="0.3">
      <c r="A131" s="299"/>
      <c r="B131" s="300"/>
      <c r="C131" s="77" t="s">
        <v>84</v>
      </c>
      <c r="D131" s="300" t="s">
        <v>75</v>
      </c>
      <c r="E131" s="319">
        <v>0</v>
      </c>
      <c r="F131" s="39"/>
      <c r="G131" s="39"/>
      <c r="H131" s="35" t="s">
        <v>76</v>
      </c>
      <c r="I131" s="35" t="s">
        <v>76</v>
      </c>
      <c r="L131" s="65" t="str">
        <f>IFERROR(H131-'Nátok z PRDS'!H131,"N/A")</f>
        <v>N/A</v>
      </c>
    </row>
    <row r="132" spans="1:12" x14ac:dyDescent="0.3">
      <c r="A132" s="299"/>
      <c r="B132" s="300"/>
      <c r="C132" s="77" t="s">
        <v>77</v>
      </c>
      <c r="D132" s="300"/>
      <c r="E132" s="320"/>
      <c r="F132" s="39"/>
      <c r="G132" s="39"/>
      <c r="H132" s="35" t="s">
        <v>76</v>
      </c>
      <c r="I132" s="35" t="s">
        <v>76</v>
      </c>
      <c r="L132" s="65" t="str">
        <f>IFERROR(H132-'Nátok z PRDS'!H132,"N/A")</f>
        <v>N/A</v>
      </c>
    </row>
    <row r="133" spans="1:12" x14ac:dyDescent="0.3">
      <c r="A133" s="299"/>
      <c r="B133" s="300"/>
      <c r="C133" s="77" t="s">
        <v>85</v>
      </c>
      <c r="D133" s="300"/>
      <c r="E133" s="321"/>
      <c r="F133" s="35">
        <f>+F131+F132</f>
        <v>0</v>
      </c>
      <c r="G133" s="35">
        <f t="shared" ref="G133" si="41">+G131+G132</f>
        <v>0</v>
      </c>
      <c r="H133" s="35">
        <f>+G133-F133</f>
        <v>0</v>
      </c>
      <c r="I133" s="47">
        <f>+ROUND(IF(H133&gt;0,H133*E131,0),4)</f>
        <v>0</v>
      </c>
      <c r="L133" s="65">
        <f>IFERROR(H133-'Nátok z PRDS'!H133,"N/A")</f>
        <v>0</v>
      </c>
    </row>
    <row r="134" spans="1:12" x14ac:dyDescent="0.3">
      <c r="A134" s="311" t="s">
        <v>104</v>
      </c>
      <c r="B134" s="312" t="s">
        <v>117</v>
      </c>
      <c r="C134" s="78" t="s">
        <v>73</v>
      </c>
      <c r="D134" s="115" t="s">
        <v>118</v>
      </c>
      <c r="E134" s="59"/>
      <c r="F134" s="43"/>
      <c r="G134" s="43"/>
      <c r="H134" s="36">
        <f>+G134-F134</f>
        <v>0</v>
      </c>
      <c r="I134" s="47">
        <f>+ROUND(IF(H134&gt;0,H134*E134,0),4)</f>
        <v>0</v>
      </c>
      <c r="L134" s="65">
        <f>IFERROR(H134-'Nátok z PRDS'!H134,"N/A")</f>
        <v>0</v>
      </c>
    </row>
    <row r="135" spans="1:12" x14ac:dyDescent="0.3">
      <c r="A135" s="311" t="s">
        <v>119</v>
      </c>
      <c r="B135" s="312"/>
      <c r="C135" s="78" t="s">
        <v>73</v>
      </c>
      <c r="D135" s="115" t="s">
        <v>120</v>
      </c>
      <c r="E135" s="59"/>
      <c r="F135" s="43">
        <v>0.91990000000000005</v>
      </c>
      <c r="G135" s="43">
        <v>1.0086999999999999</v>
      </c>
      <c r="H135" s="36">
        <f t="shared" ref="H135" si="42">+G135-F135</f>
        <v>8.8799999999999879E-2</v>
      </c>
      <c r="I135" s="47">
        <f t="shared" ref="I135:I137" si="43">+ROUND(IF(H135&gt;0,H135*E135,0),4)</f>
        <v>0</v>
      </c>
      <c r="L135" s="65">
        <f>IFERROR(H135-'Nátok z PRDS'!H135,"N/A")</f>
        <v>8.8799999999999879E-2</v>
      </c>
    </row>
    <row r="136" spans="1:12" x14ac:dyDescent="0.3">
      <c r="A136" s="299" t="s">
        <v>104</v>
      </c>
      <c r="B136" s="300" t="s">
        <v>121</v>
      </c>
      <c r="C136" s="77" t="s">
        <v>106</v>
      </c>
      <c r="D136" s="114" t="s">
        <v>107</v>
      </c>
      <c r="E136" s="58"/>
      <c r="F136" s="39"/>
      <c r="G136" s="39"/>
      <c r="H136" s="35">
        <f>+G136-F136</f>
        <v>0</v>
      </c>
      <c r="I136" s="47">
        <f t="shared" si="43"/>
        <v>0</v>
      </c>
      <c r="L136" s="65">
        <f>IFERROR(H136-'Nátok z PRDS'!H136,"N/A")</f>
        <v>0</v>
      </c>
    </row>
    <row r="137" spans="1:12" x14ac:dyDescent="0.3">
      <c r="A137" s="299"/>
      <c r="B137" s="300"/>
      <c r="C137" s="77" t="s">
        <v>108</v>
      </c>
      <c r="D137" s="114" t="s">
        <v>109</v>
      </c>
      <c r="E137" s="58"/>
      <c r="F137" s="39"/>
      <c r="G137" s="39"/>
      <c r="H137" s="35">
        <f>+G137-F137</f>
        <v>0</v>
      </c>
      <c r="I137" s="47">
        <f t="shared" si="43"/>
        <v>0</v>
      </c>
      <c r="L137" s="65">
        <f>IFERROR(H137-'Nátok z PRDS'!H137,"N/A")</f>
        <v>0</v>
      </c>
    </row>
    <row r="138" spans="1:12" x14ac:dyDescent="0.3">
      <c r="A138" s="299"/>
      <c r="B138" s="300"/>
      <c r="C138" s="77" t="s">
        <v>74</v>
      </c>
      <c r="D138" s="300" t="s">
        <v>75</v>
      </c>
      <c r="E138" s="319">
        <f>+E139</f>
        <v>0</v>
      </c>
      <c r="F138" s="39"/>
      <c r="G138" s="39"/>
      <c r="H138" s="35" t="s">
        <v>76</v>
      </c>
      <c r="I138" s="35" t="s">
        <v>76</v>
      </c>
      <c r="L138" s="65" t="str">
        <f>IFERROR(H138-'Nátok z PRDS'!H138,"N/A")</f>
        <v>N/A</v>
      </c>
    </row>
    <row r="139" spans="1:12" x14ac:dyDescent="0.3">
      <c r="A139" s="299"/>
      <c r="B139" s="300"/>
      <c r="C139" s="77" t="s">
        <v>77</v>
      </c>
      <c r="D139" s="300"/>
      <c r="E139" s="320"/>
      <c r="F139" s="39"/>
      <c r="G139" s="39"/>
      <c r="H139" s="35" t="s">
        <v>76</v>
      </c>
      <c r="I139" s="35" t="s">
        <v>76</v>
      </c>
      <c r="L139" s="65" t="str">
        <f>IFERROR(H139-'Nátok z PRDS'!H139,"N/A")</f>
        <v>N/A</v>
      </c>
    </row>
    <row r="140" spans="1:12" x14ac:dyDescent="0.3">
      <c r="A140" s="299"/>
      <c r="B140" s="300"/>
      <c r="C140" s="77" t="s">
        <v>78</v>
      </c>
      <c r="D140" s="300"/>
      <c r="E140" s="321"/>
      <c r="F140" s="35">
        <f>+F138+F139</f>
        <v>0</v>
      </c>
      <c r="G140" s="35">
        <f t="shared" ref="G140" si="44">+G138+G139</f>
        <v>0</v>
      </c>
      <c r="H140" s="35">
        <f>+G140-F140</f>
        <v>0</v>
      </c>
      <c r="I140" s="47">
        <f>+ROUND(IF(H140&gt;0,H140*E138,0),4)</f>
        <v>0</v>
      </c>
      <c r="L140" s="65">
        <f>IFERROR(H140-'Nátok z PRDS'!H140,"N/A")</f>
        <v>0</v>
      </c>
    </row>
    <row r="141" spans="1:12" x14ac:dyDescent="0.3">
      <c r="A141" s="303" t="s">
        <v>104</v>
      </c>
      <c r="B141" s="306" t="s">
        <v>122</v>
      </c>
      <c r="C141" s="77" t="s">
        <v>73</v>
      </c>
      <c r="D141" s="114" t="s">
        <v>118</v>
      </c>
      <c r="E141" s="58"/>
      <c r="F141" s="39">
        <v>35</v>
      </c>
      <c r="G141" s="39">
        <v>35</v>
      </c>
      <c r="H141" s="35">
        <f>+G141-F141</f>
        <v>0</v>
      </c>
      <c r="I141" s="47">
        <f>+ROUND(IF(H141&gt;0,H141*E141,0),4)</f>
        <v>0</v>
      </c>
      <c r="L141" s="65">
        <f>IFERROR(H141-'Nátok z PRDS'!H141,"N/A")</f>
        <v>0</v>
      </c>
    </row>
    <row r="142" spans="1:12" x14ac:dyDescent="0.3">
      <c r="A142" s="304"/>
      <c r="B142" s="307"/>
      <c r="C142" s="77" t="s">
        <v>106</v>
      </c>
      <c r="D142" s="114" t="s">
        <v>107</v>
      </c>
      <c r="E142" s="58"/>
      <c r="F142" s="39">
        <v>1.9031</v>
      </c>
      <c r="G142" s="39">
        <v>2.0867</v>
      </c>
      <c r="H142" s="35">
        <f>+G142-F142</f>
        <v>0.18359999999999999</v>
      </c>
      <c r="I142" s="47">
        <f>+ROUND(IF(H142&gt;0,H142*E142,0),4)</f>
        <v>0</v>
      </c>
      <c r="L142" s="65">
        <f>IFERROR(H142-'Nátok z PRDS'!H142,"N/A")</f>
        <v>0.18359999999999999</v>
      </c>
    </row>
    <row r="143" spans="1:12" x14ac:dyDescent="0.3">
      <c r="A143" s="304"/>
      <c r="B143" s="307"/>
      <c r="C143" s="77" t="s">
        <v>108</v>
      </c>
      <c r="D143" s="116" t="s">
        <v>109</v>
      </c>
      <c r="E143" s="58"/>
      <c r="F143" s="39"/>
      <c r="G143" s="39"/>
      <c r="H143" s="35">
        <f>+G143-F143</f>
        <v>0</v>
      </c>
      <c r="I143" s="47">
        <f>+ROUND(IF(H143&gt;0,H143*E143,0),4)</f>
        <v>0</v>
      </c>
      <c r="L143" s="65">
        <f>IFERROR(H143-'Nátok z PRDS'!H143,"N/A")</f>
        <v>0</v>
      </c>
    </row>
    <row r="144" spans="1:12" x14ac:dyDescent="0.3">
      <c r="A144" s="304"/>
      <c r="B144" s="307"/>
      <c r="C144" s="77" t="s">
        <v>74</v>
      </c>
      <c r="D144" s="300" t="s">
        <v>75</v>
      </c>
      <c r="E144" s="319">
        <f>+E145</f>
        <v>0</v>
      </c>
      <c r="F144" s="39">
        <v>19.3</v>
      </c>
      <c r="G144" s="39">
        <v>20.8</v>
      </c>
      <c r="H144" s="35" t="s">
        <v>76</v>
      </c>
      <c r="I144" s="35" t="s">
        <v>76</v>
      </c>
      <c r="L144" s="65" t="str">
        <f>IFERROR(H144-'Nátok z PRDS'!H144,"N/A")</f>
        <v>N/A</v>
      </c>
    </row>
    <row r="145" spans="1:12" x14ac:dyDescent="0.3">
      <c r="A145" s="304"/>
      <c r="B145" s="307"/>
      <c r="C145" s="77" t="s">
        <v>77</v>
      </c>
      <c r="D145" s="300"/>
      <c r="E145" s="320"/>
      <c r="F145" s="39">
        <v>12.413</v>
      </c>
      <c r="G145" s="39">
        <v>16.244</v>
      </c>
      <c r="H145" s="35" t="s">
        <v>76</v>
      </c>
      <c r="I145" s="35" t="s">
        <v>76</v>
      </c>
      <c r="L145" s="65" t="str">
        <f>IFERROR(H145-'Nátok z PRDS'!H145,"N/A")</f>
        <v>N/A</v>
      </c>
    </row>
    <row r="146" spans="1:12" x14ac:dyDescent="0.3">
      <c r="A146" s="305"/>
      <c r="B146" s="308"/>
      <c r="C146" s="77" t="s">
        <v>78</v>
      </c>
      <c r="D146" s="300"/>
      <c r="E146" s="321"/>
      <c r="F146" s="35">
        <f>+F144+F145</f>
        <v>31.713000000000001</v>
      </c>
      <c r="G146" s="35">
        <f>+G144+G145</f>
        <v>37.043999999999997</v>
      </c>
      <c r="H146" s="35">
        <f>+G146-F146</f>
        <v>5.330999999999996</v>
      </c>
      <c r="I146" s="47">
        <f>+ROUND(IF(H146&gt;0,H146*E144,0),4)</f>
        <v>0</v>
      </c>
      <c r="L146" s="65">
        <f>IFERROR(H146-'Nátok z PRDS'!H146,"N/A")</f>
        <v>5.330999999999996</v>
      </c>
    </row>
    <row r="147" spans="1:12" x14ac:dyDescent="0.3">
      <c r="A147" s="299" t="s">
        <v>104</v>
      </c>
      <c r="B147" s="300" t="s">
        <v>123</v>
      </c>
      <c r="C147" s="77" t="s">
        <v>106</v>
      </c>
      <c r="D147" s="114" t="s">
        <v>107</v>
      </c>
      <c r="E147" s="58"/>
      <c r="F147" s="39"/>
      <c r="G147" s="39"/>
      <c r="H147" s="35">
        <f>+G147-F147</f>
        <v>0</v>
      </c>
      <c r="I147" s="47">
        <f t="shared" ref="I147" si="45">+ROUND(IF(H147&gt;0,H147*E147,0),4)</f>
        <v>0</v>
      </c>
      <c r="L147" s="65">
        <f>IFERROR(H147-'Nátok z PRDS'!H147,"N/A")</f>
        <v>0</v>
      </c>
    </row>
    <row r="148" spans="1:12" x14ac:dyDescent="0.3">
      <c r="A148" s="299"/>
      <c r="B148" s="300"/>
      <c r="C148" s="77" t="s">
        <v>108</v>
      </c>
      <c r="D148" s="114" t="s">
        <v>109</v>
      </c>
      <c r="E148" s="58"/>
      <c r="F148" s="39"/>
      <c r="G148" s="39"/>
      <c r="H148" s="35">
        <f>+G148-F148</f>
        <v>0</v>
      </c>
      <c r="I148" s="47">
        <f>+ROUND(IF(H148&gt;0,H148*E148,0),4)</f>
        <v>0</v>
      </c>
      <c r="L148" s="65">
        <f>IFERROR(H148-'Nátok z PRDS'!H148,"N/A")</f>
        <v>0</v>
      </c>
    </row>
    <row r="149" spans="1:12" x14ac:dyDescent="0.3">
      <c r="A149" s="299"/>
      <c r="B149" s="300"/>
      <c r="C149" s="77" t="s">
        <v>82</v>
      </c>
      <c r="D149" s="300" t="s">
        <v>75</v>
      </c>
      <c r="E149" s="319">
        <v>0</v>
      </c>
      <c r="F149" s="39"/>
      <c r="G149" s="39"/>
      <c r="H149" s="35" t="s">
        <v>76</v>
      </c>
      <c r="I149" s="35" t="s">
        <v>76</v>
      </c>
      <c r="L149" s="65" t="str">
        <f>IFERROR(H149-'Nátok z PRDS'!H149,"N/A")</f>
        <v>N/A</v>
      </c>
    </row>
    <row r="150" spans="1:12" x14ac:dyDescent="0.3">
      <c r="A150" s="299"/>
      <c r="B150" s="300"/>
      <c r="C150" s="77" t="s">
        <v>77</v>
      </c>
      <c r="D150" s="300"/>
      <c r="E150" s="320"/>
      <c r="F150" s="39"/>
      <c r="G150" s="39"/>
      <c r="H150" s="35" t="s">
        <v>76</v>
      </c>
      <c r="I150" s="35" t="s">
        <v>76</v>
      </c>
      <c r="L150" s="65" t="str">
        <f>IFERROR(H150-'Nátok z PRDS'!H150,"N/A")</f>
        <v>N/A</v>
      </c>
    </row>
    <row r="151" spans="1:12" x14ac:dyDescent="0.3">
      <c r="A151" s="299"/>
      <c r="B151" s="300"/>
      <c r="C151" s="77" t="s">
        <v>83</v>
      </c>
      <c r="D151" s="300"/>
      <c r="E151" s="321"/>
      <c r="F151" s="35">
        <f>+F149+F150</f>
        <v>0</v>
      </c>
      <c r="G151" s="35">
        <f t="shared" ref="G151" si="46">+G149+G150</f>
        <v>0</v>
      </c>
      <c r="H151" s="35">
        <f>+G151-F151</f>
        <v>0</v>
      </c>
      <c r="I151" s="47">
        <f>+ROUND(IF(H151&gt;0,H151*E149,0),4)</f>
        <v>0</v>
      </c>
      <c r="L151" s="65">
        <f>IFERROR(H151-'Nátok z PRDS'!H151,"N/A")</f>
        <v>0</v>
      </c>
    </row>
    <row r="152" spans="1:12" x14ac:dyDescent="0.3">
      <c r="A152" s="299"/>
      <c r="B152" s="300"/>
      <c r="C152" s="77" t="s">
        <v>84</v>
      </c>
      <c r="D152" s="300" t="s">
        <v>75</v>
      </c>
      <c r="E152" s="319">
        <v>0</v>
      </c>
      <c r="F152" s="39"/>
      <c r="G152" s="39"/>
      <c r="H152" s="35" t="s">
        <v>76</v>
      </c>
      <c r="I152" s="35" t="s">
        <v>76</v>
      </c>
      <c r="L152" s="65" t="str">
        <f>IFERROR(H152-'Nátok z PRDS'!H152,"N/A")</f>
        <v>N/A</v>
      </c>
    </row>
    <row r="153" spans="1:12" x14ac:dyDescent="0.3">
      <c r="A153" s="299"/>
      <c r="B153" s="300"/>
      <c r="C153" s="77" t="s">
        <v>77</v>
      </c>
      <c r="D153" s="300"/>
      <c r="E153" s="320"/>
      <c r="F153" s="39"/>
      <c r="G153" s="39"/>
      <c r="H153" s="35" t="s">
        <v>76</v>
      </c>
      <c r="I153" s="35" t="s">
        <v>76</v>
      </c>
      <c r="L153" s="65" t="str">
        <f>IFERROR(H153-'Nátok z PRDS'!H153,"N/A")</f>
        <v>N/A</v>
      </c>
    </row>
    <row r="154" spans="1:12" x14ac:dyDescent="0.3">
      <c r="A154" s="299"/>
      <c r="B154" s="300"/>
      <c r="C154" s="77" t="s">
        <v>85</v>
      </c>
      <c r="D154" s="300"/>
      <c r="E154" s="321"/>
      <c r="F154" s="35">
        <f>+F152+F153</f>
        <v>0</v>
      </c>
      <c r="G154" s="35">
        <f t="shared" ref="G154" si="47">+G152+G153</f>
        <v>0</v>
      </c>
      <c r="H154" s="35">
        <f>+G154-F154</f>
        <v>0</v>
      </c>
      <c r="I154" s="47">
        <f>+ROUND(IF(H154&gt;0,H154*E152,0),4)</f>
        <v>0</v>
      </c>
      <c r="L154" s="65">
        <f>IFERROR(H154-'Nátok z PRDS'!H154,"N/A")</f>
        <v>0</v>
      </c>
    </row>
    <row r="155" spans="1:12" x14ac:dyDescent="0.3">
      <c r="A155" s="299" t="s">
        <v>104</v>
      </c>
      <c r="B155" s="300" t="s">
        <v>124</v>
      </c>
      <c r="C155" s="77" t="s">
        <v>106</v>
      </c>
      <c r="D155" s="114" t="s">
        <v>107</v>
      </c>
      <c r="E155" s="58"/>
      <c r="F155" s="39"/>
      <c r="G155" s="39"/>
      <c r="H155" s="35">
        <f>+G155-F155</f>
        <v>0</v>
      </c>
      <c r="I155" s="47">
        <f t="shared" ref="I155:I156" si="48">+ROUND(IF(H155&gt;0,H155*E155,0),4)</f>
        <v>0</v>
      </c>
      <c r="L155" s="65">
        <f>IFERROR(H155-'Nátok z PRDS'!H155,"N/A")</f>
        <v>0</v>
      </c>
    </row>
    <row r="156" spans="1:12" x14ac:dyDescent="0.3">
      <c r="A156" s="299"/>
      <c r="B156" s="300"/>
      <c r="C156" s="77" t="s">
        <v>108</v>
      </c>
      <c r="D156" s="114" t="s">
        <v>109</v>
      </c>
      <c r="E156" s="58"/>
      <c r="F156" s="39"/>
      <c r="G156" s="39"/>
      <c r="H156" s="35">
        <f>+G156-F156</f>
        <v>0</v>
      </c>
      <c r="I156" s="47">
        <f t="shared" si="48"/>
        <v>0</v>
      </c>
      <c r="L156" s="65">
        <f>IFERROR(H156-'Nátok z PRDS'!H156,"N/A")</f>
        <v>0</v>
      </c>
    </row>
    <row r="157" spans="1:12" x14ac:dyDescent="0.3">
      <c r="A157" s="299"/>
      <c r="B157" s="300"/>
      <c r="C157" s="77" t="s">
        <v>94</v>
      </c>
      <c r="D157" s="300" t="s">
        <v>75</v>
      </c>
      <c r="E157" s="319">
        <v>0</v>
      </c>
      <c r="F157" s="39"/>
      <c r="G157" s="39"/>
      <c r="H157" s="35" t="s">
        <v>76</v>
      </c>
      <c r="I157" s="35" t="s">
        <v>76</v>
      </c>
      <c r="L157" s="65" t="str">
        <f>IFERROR(H157-'Nátok z PRDS'!H157,"N/A")</f>
        <v>N/A</v>
      </c>
    </row>
    <row r="158" spans="1:12" x14ac:dyDescent="0.3">
      <c r="A158" s="299"/>
      <c r="B158" s="300"/>
      <c r="C158" s="77" t="s">
        <v>77</v>
      </c>
      <c r="D158" s="300"/>
      <c r="E158" s="320"/>
      <c r="F158" s="39"/>
      <c r="G158" s="39"/>
      <c r="H158" s="35" t="s">
        <v>76</v>
      </c>
      <c r="I158" s="35" t="s">
        <v>76</v>
      </c>
      <c r="L158" s="65" t="str">
        <f>IFERROR(H158-'Nátok z PRDS'!H158,"N/A")</f>
        <v>N/A</v>
      </c>
    </row>
    <row r="159" spans="1:12" x14ac:dyDescent="0.3">
      <c r="A159" s="299"/>
      <c r="B159" s="300"/>
      <c r="C159" s="77" t="s">
        <v>95</v>
      </c>
      <c r="D159" s="300"/>
      <c r="E159" s="321"/>
      <c r="F159" s="35">
        <f>+F157+F158</f>
        <v>0</v>
      </c>
      <c r="G159" s="35">
        <f t="shared" ref="G159" si="49">+G157+G158</f>
        <v>0</v>
      </c>
      <c r="H159" s="35">
        <f>+G159-F159</f>
        <v>0</v>
      </c>
      <c r="I159" s="47">
        <f>+ROUND(IF(H159&gt;0,H159*E157,0),4)</f>
        <v>0</v>
      </c>
      <c r="L159" s="65">
        <f>IFERROR(H159-'Nátok z PRDS'!H159,"N/A")</f>
        <v>0</v>
      </c>
    </row>
    <row r="160" spans="1:12" x14ac:dyDescent="0.3">
      <c r="A160" s="299"/>
      <c r="B160" s="300"/>
      <c r="C160" s="77" t="s">
        <v>82</v>
      </c>
      <c r="D160" s="300" t="s">
        <v>75</v>
      </c>
      <c r="E160" s="319">
        <v>0</v>
      </c>
      <c r="F160" s="39"/>
      <c r="G160" s="39"/>
      <c r="H160" s="35" t="s">
        <v>76</v>
      </c>
      <c r="I160" s="35" t="s">
        <v>76</v>
      </c>
      <c r="L160" s="65" t="str">
        <f>IFERROR(H160-'Nátok z PRDS'!H160,"N/A")</f>
        <v>N/A</v>
      </c>
    </row>
    <row r="161" spans="1:13" x14ac:dyDescent="0.3">
      <c r="A161" s="299"/>
      <c r="B161" s="300"/>
      <c r="C161" s="77" t="s">
        <v>77</v>
      </c>
      <c r="D161" s="300"/>
      <c r="E161" s="320"/>
      <c r="F161" s="39"/>
      <c r="G161" s="39"/>
      <c r="H161" s="35" t="s">
        <v>76</v>
      </c>
      <c r="I161" s="35" t="s">
        <v>76</v>
      </c>
      <c r="L161" s="65" t="str">
        <f>IFERROR(H161-'Nátok z PRDS'!H161,"N/A")</f>
        <v>N/A</v>
      </c>
    </row>
    <row r="162" spans="1:13" x14ac:dyDescent="0.3">
      <c r="A162" s="299"/>
      <c r="B162" s="300"/>
      <c r="C162" s="77" t="s">
        <v>83</v>
      </c>
      <c r="D162" s="300"/>
      <c r="E162" s="321"/>
      <c r="F162" s="35">
        <f>+F160+F161</f>
        <v>0</v>
      </c>
      <c r="G162" s="35">
        <f t="shared" ref="G162" si="50">+G160+G161</f>
        <v>0</v>
      </c>
      <c r="H162" s="35">
        <f>+G162-F162</f>
        <v>0</v>
      </c>
      <c r="I162" s="47">
        <f>+ROUND(IF(H162&gt;0,H162*E160,0),4)</f>
        <v>0</v>
      </c>
      <c r="L162" s="65">
        <f>IFERROR(H162-'Nátok z PRDS'!H162,"N/A")</f>
        <v>0</v>
      </c>
    </row>
    <row r="163" spans="1:13" x14ac:dyDescent="0.3">
      <c r="A163" s="299"/>
      <c r="B163" s="300"/>
      <c r="C163" s="77" t="s">
        <v>84</v>
      </c>
      <c r="D163" s="300" t="s">
        <v>75</v>
      </c>
      <c r="E163" s="319">
        <v>0</v>
      </c>
      <c r="F163" s="39"/>
      <c r="G163" s="39"/>
      <c r="H163" s="35" t="s">
        <v>76</v>
      </c>
      <c r="I163" s="35" t="s">
        <v>76</v>
      </c>
      <c r="L163" s="65" t="str">
        <f>IFERROR(H163-'Nátok z PRDS'!H163,"N/A")</f>
        <v>N/A</v>
      </c>
    </row>
    <row r="164" spans="1:13" x14ac:dyDescent="0.3">
      <c r="A164" s="299"/>
      <c r="B164" s="300"/>
      <c r="C164" s="77" t="s">
        <v>77</v>
      </c>
      <c r="D164" s="300"/>
      <c r="E164" s="320"/>
      <c r="F164" s="39"/>
      <c r="G164" s="39"/>
      <c r="H164" s="35" t="s">
        <v>76</v>
      </c>
      <c r="I164" s="35" t="s">
        <v>76</v>
      </c>
      <c r="L164" s="65" t="str">
        <f>IFERROR(H164-'Nátok z PRDS'!H164,"N/A")</f>
        <v>N/A</v>
      </c>
    </row>
    <row r="165" spans="1:13" x14ac:dyDescent="0.3">
      <c r="A165" s="299"/>
      <c r="B165" s="300"/>
      <c r="C165" s="77" t="s">
        <v>85</v>
      </c>
      <c r="D165" s="300"/>
      <c r="E165" s="321"/>
      <c r="F165" s="35">
        <f>+F163+F164</f>
        <v>0</v>
      </c>
      <c r="G165" s="35">
        <f t="shared" ref="G165" si="51">+G163+G164</f>
        <v>0</v>
      </c>
      <c r="H165" s="35">
        <f>+G165-F165</f>
        <v>0</v>
      </c>
      <c r="I165" s="47">
        <f>+ROUND(IF(H165&gt;0,H165*E163,0),4)</f>
        <v>0</v>
      </c>
      <c r="L165" s="65">
        <f>IFERROR(H165-'Nátok z PRDS'!H165,"N/A")</f>
        <v>0</v>
      </c>
    </row>
    <row r="166" spans="1:13" x14ac:dyDescent="0.3">
      <c r="A166" s="299"/>
      <c r="B166" s="300"/>
      <c r="C166" s="77" t="s">
        <v>96</v>
      </c>
      <c r="D166" s="300" t="s">
        <v>75</v>
      </c>
      <c r="E166" s="319">
        <v>0</v>
      </c>
      <c r="F166" s="39"/>
      <c r="G166" s="39"/>
      <c r="H166" s="35" t="s">
        <v>76</v>
      </c>
      <c r="I166" s="35" t="s">
        <v>76</v>
      </c>
      <c r="L166" s="65" t="str">
        <f>IFERROR(H166-'Nátok z PRDS'!H166,"N/A")</f>
        <v>N/A</v>
      </c>
    </row>
    <row r="167" spans="1:13" x14ac:dyDescent="0.3">
      <c r="A167" s="299"/>
      <c r="B167" s="300"/>
      <c r="C167" s="77" t="s">
        <v>77</v>
      </c>
      <c r="D167" s="300"/>
      <c r="E167" s="320"/>
      <c r="F167" s="39"/>
      <c r="G167" s="39"/>
      <c r="H167" s="35" t="s">
        <v>76</v>
      </c>
      <c r="I167" s="35" t="s">
        <v>76</v>
      </c>
      <c r="L167" s="65" t="str">
        <f>IFERROR(H167-'Nátok z PRDS'!H167,"N/A")</f>
        <v>N/A</v>
      </c>
    </row>
    <row r="168" spans="1:13" x14ac:dyDescent="0.3">
      <c r="A168" s="299"/>
      <c r="B168" s="300"/>
      <c r="C168" s="77" t="s">
        <v>97</v>
      </c>
      <c r="D168" s="300"/>
      <c r="E168" s="321"/>
      <c r="F168" s="35">
        <f>+F166+F167</f>
        <v>0</v>
      </c>
      <c r="G168" s="35">
        <f t="shared" ref="G168" si="52">+G166+G167</f>
        <v>0</v>
      </c>
      <c r="H168" s="35">
        <f>+G168-F168</f>
        <v>0</v>
      </c>
      <c r="I168" s="47">
        <f>+ROUND(IF(H168&gt;0,H168*E166,0),4)</f>
        <v>0</v>
      </c>
      <c r="L168" s="65">
        <f>IFERROR(H168-'Nátok z PRDS'!H168,"N/A")</f>
        <v>0</v>
      </c>
    </row>
    <row r="169" spans="1:13" x14ac:dyDescent="0.3">
      <c r="A169" s="314" t="s">
        <v>104</v>
      </c>
      <c r="B169" s="315" t="s">
        <v>103</v>
      </c>
      <c r="C169" s="103" t="s">
        <v>73</v>
      </c>
      <c r="D169" s="111" t="s">
        <v>76</v>
      </c>
      <c r="E169" s="49" t="s">
        <v>76</v>
      </c>
      <c r="F169" s="49" t="s">
        <v>76</v>
      </c>
      <c r="G169" s="49" t="s">
        <v>76</v>
      </c>
      <c r="H169" s="49" t="s">
        <v>76</v>
      </c>
      <c r="I169" s="49">
        <f>SUM(I79:I80,I84:I85,I89:I90,I94:I95,I102:I103,I110:I111,I118:I119,I126:I127,I134:I137,I147:I148,I155:I156,I141:I143)</f>
        <v>0</v>
      </c>
      <c r="L169" s="65" t="str">
        <f>IFERROR(H169-'Nátok z PRDS'!H169,"N/A")</f>
        <v>N/A</v>
      </c>
    </row>
    <row r="170" spans="1:13" x14ac:dyDescent="0.3">
      <c r="A170" s="314"/>
      <c r="B170" s="315"/>
      <c r="C170" s="103" t="s">
        <v>78</v>
      </c>
      <c r="D170" s="84" t="s">
        <v>75</v>
      </c>
      <c r="E170" s="49">
        <f>SUM(E81,E86,E91,E96,E99,E104,E107,E112,E115,E120,E123,E128,E131,E138,E144,E149,E152,E157,E160,E163,E166)</f>
        <v>0</v>
      </c>
      <c r="F170" s="49" t="s">
        <v>76</v>
      </c>
      <c r="G170" s="49" t="s">
        <v>76</v>
      </c>
      <c r="H170" s="49" t="s">
        <v>76</v>
      </c>
      <c r="I170" s="49">
        <f>SUM(I83,I88,I93,I98,I101,I106,I109,I114,I117,I122,I125,I130,I133,I140,I146,I151,I154,I159,I162,I165,I168)</f>
        <v>0</v>
      </c>
      <c r="L170" s="65" t="str">
        <f>IFERROR(H170-'Nátok z PRDS'!H170,"N/A")</f>
        <v>N/A</v>
      </c>
    </row>
    <row r="171" spans="1:13" x14ac:dyDescent="0.3">
      <c r="A171" s="300" t="s">
        <v>119</v>
      </c>
      <c r="B171" s="300" t="s">
        <v>126</v>
      </c>
      <c r="C171" s="79" t="s">
        <v>127</v>
      </c>
      <c r="D171" s="67"/>
      <c r="E171" s="58">
        <v>0</v>
      </c>
      <c r="F171" s="58">
        <v>8.1163000000000007</v>
      </c>
      <c r="G171" s="58">
        <v>8.3767999999999994</v>
      </c>
      <c r="H171" s="35">
        <f t="shared" ref="H171:H180" si="53">+G171-F171</f>
        <v>0.26049999999999862</v>
      </c>
      <c r="I171" s="47">
        <f>+ROUND(IF(H171&gt;0,H171*E171,0),4)</f>
        <v>0</v>
      </c>
      <c r="J171" s="130"/>
      <c r="L171" s="65">
        <f>IFERROR(H171-'Nátok z PRDS'!H171,"N/A")</f>
        <v>0.26049999999999862</v>
      </c>
      <c r="M171" s="130"/>
    </row>
    <row r="172" spans="1:13" x14ac:dyDescent="0.3">
      <c r="A172" s="300"/>
      <c r="B172" s="300"/>
      <c r="C172" s="79" t="s">
        <v>128</v>
      </c>
      <c r="D172" s="67"/>
      <c r="E172" s="58">
        <v>0</v>
      </c>
      <c r="F172" s="58">
        <v>7.3532999999999999</v>
      </c>
      <c r="G172" s="58">
        <v>7.5892999999999997</v>
      </c>
      <c r="H172" s="35">
        <f t="shared" si="53"/>
        <v>0.23599999999999977</v>
      </c>
      <c r="I172" s="47">
        <f t="shared" ref="I172:I180" si="54">+ROUND(IF(H172&gt;0,H172*E172,0),4)</f>
        <v>0</v>
      </c>
      <c r="L172" s="65">
        <f>IFERROR(H172-'Nátok z PRDS'!H172,"N/A")</f>
        <v>0.23599999999999977</v>
      </c>
    </row>
    <row r="173" spans="1:13" x14ac:dyDescent="0.3">
      <c r="A173" s="300"/>
      <c r="B173" s="300"/>
      <c r="C173" s="79" t="s">
        <v>129</v>
      </c>
      <c r="D173" s="67"/>
      <c r="E173" s="58">
        <v>0</v>
      </c>
      <c r="F173" s="58">
        <v>6.4203999999999999</v>
      </c>
      <c r="G173" s="58">
        <v>6.6265000000000001</v>
      </c>
      <c r="H173" s="35">
        <f t="shared" si="53"/>
        <v>0.20610000000000017</v>
      </c>
      <c r="I173" s="47">
        <f t="shared" si="54"/>
        <v>0</v>
      </c>
      <c r="J173" s="130"/>
      <c r="L173" s="65">
        <f>IFERROR(H173-'Nátok z PRDS'!H173,"N/A")</f>
        <v>0.20610000000000017</v>
      </c>
      <c r="M173" s="130"/>
    </row>
    <row r="174" spans="1:13" x14ac:dyDescent="0.3">
      <c r="A174" s="300"/>
      <c r="B174" s="300"/>
      <c r="C174" s="80" t="s">
        <v>131</v>
      </c>
      <c r="D174" s="67"/>
      <c r="E174" s="58">
        <v>0</v>
      </c>
      <c r="F174" s="58"/>
      <c r="G174" s="58"/>
      <c r="H174" s="35">
        <f t="shared" si="53"/>
        <v>0</v>
      </c>
      <c r="I174" s="47">
        <f t="shared" si="54"/>
        <v>0</v>
      </c>
      <c r="L174" s="65">
        <f>IFERROR(H174-'Nátok z PRDS'!H174,"N/A")</f>
        <v>0</v>
      </c>
    </row>
    <row r="175" spans="1:13" x14ac:dyDescent="0.3">
      <c r="A175" s="300"/>
      <c r="B175" s="300"/>
      <c r="C175" s="79" t="s">
        <v>132</v>
      </c>
      <c r="D175" s="114"/>
      <c r="E175" s="58">
        <v>0</v>
      </c>
      <c r="F175" s="39"/>
      <c r="G175" s="39"/>
      <c r="H175" s="35">
        <f t="shared" si="53"/>
        <v>0</v>
      </c>
      <c r="I175" s="47">
        <f t="shared" si="54"/>
        <v>0</v>
      </c>
      <c r="L175" s="65">
        <f>IFERROR(H175-'Nátok z PRDS'!H175,"N/A")</f>
        <v>0</v>
      </c>
    </row>
    <row r="176" spans="1:13" x14ac:dyDescent="0.3">
      <c r="A176" s="300"/>
      <c r="B176" s="300"/>
      <c r="C176" s="79" t="s">
        <v>133</v>
      </c>
      <c r="D176" s="114"/>
      <c r="E176" s="58">
        <v>0</v>
      </c>
      <c r="F176" s="39"/>
      <c r="G176" s="39"/>
      <c r="H176" s="35">
        <f t="shared" si="53"/>
        <v>0</v>
      </c>
      <c r="I176" s="47">
        <f t="shared" si="54"/>
        <v>0</v>
      </c>
      <c r="L176" s="65">
        <f>IFERROR(H176-'Nátok z PRDS'!H176,"N/A")</f>
        <v>0</v>
      </c>
    </row>
    <row r="177" spans="1:12" x14ac:dyDescent="0.3">
      <c r="A177" s="300"/>
      <c r="B177" s="300"/>
      <c r="C177" s="79" t="s">
        <v>134</v>
      </c>
      <c r="D177" s="114"/>
      <c r="E177" s="58">
        <v>0</v>
      </c>
      <c r="F177" s="39"/>
      <c r="G177" s="39"/>
      <c r="H177" s="35">
        <f t="shared" si="53"/>
        <v>0</v>
      </c>
      <c r="I177" s="47">
        <f t="shared" si="54"/>
        <v>0</v>
      </c>
      <c r="L177" s="65">
        <f>IFERROR(H177-'Nátok z PRDS'!H177,"N/A")</f>
        <v>0</v>
      </c>
    </row>
    <row r="178" spans="1:12" x14ac:dyDescent="0.3">
      <c r="A178" s="300"/>
      <c r="B178" s="300"/>
      <c r="C178" s="79" t="s">
        <v>135</v>
      </c>
      <c r="D178" s="114"/>
      <c r="E178" s="58">
        <v>0</v>
      </c>
      <c r="F178" s="39"/>
      <c r="G178" s="39"/>
      <c r="H178" s="35">
        <f t="shared" si="53"/>
        <v>0</v>
      </c>
      <c r="I178" s="47">
        <f t="shared" si="54"/>
        <v>0</v>
      </c>
      <c r="L178" s="65">
        <f>IFERROR(H178-'Nátok z PRDS'!H178,"N/A")</f>
        <v>0</v>
      </c>
    </row>
    <row r="179" spans="1:12" x14ac:dyDescent="0.3">
      <c r="A179" s="300"/>
      <c r="B179" s="300"/>
      <c r="C179" s="79" t="s">
        <v>136</v>
      </c>
      <c r="D179" s="114"/>
      <c r="E179" s="58">
        <v>0</v>
      </c>
      <c r="F179" s="39"/>
      <c r="G179" s="39"/>
      <c r="H179" s="35">
        <f t="shared" si="53"/>
        <v>0</v>
      </c>
      <c r="I179" s="47">
        <f t="shared" si="54"/>
        <v>0</v>
      </c>
      <c r="L179" s="65">
        <f>IFERROR(H179-'Nátok z PRDS'!H179,"N/A")</f>
        <v>0</v>
      </c>
    </row>
    <row r="180" spans="1:12" x14ac:dyDescent="0.3">
      <c r="A180" s="300"/>
      <c r="B180" s="300"/>
      <c r="C180" s="79" t="s">
        <v>137</v>
      </c>
      <c r="D180" s="114"/>
      <c r="E180" s="58">
        <v>0</v>
      </c>
      <c r="F180" s="39"/>
      <c r="G180" s="39"/>
      <c r="H180" s="35">
        <f t="shared" si="53"/>
        <v>0</v>
      </c>
      <c r="I180" s="47">
        <f t="shared" si="54"/>
        <v>0</v>
      </c>
      <c r="L180" s="65">
        <f>IFERROR(H180-'Nátok z PRDS'!H180,"N/A")</f>
        <v>0</v>
      </c>
    </row>
    <row r="181" spans="1:12" x14ac:dyDescent="0.3">
      <c r="A181" s="300"/>
      <c r="B181" s="300"/>
      <c r="C181" s="79" t="s">
        <v>74</v>
      </c>
      <c r="D181" s="300" t="s">
        <v>75</v>
      </c>
      <c r="E181" s="319"/>
      <c r="F181" s="39">
        <v>9.0785</v>
      </c>
      <c r="G181" s="39">
        <v>7.8031999999999995</v>
      </c>
      <c r="H181" s="35" t="s">
        <v>76</v>
      </c>
      <c r="I181" s="35" t="s">
        <v>76</v>
      </c>
      <c r="L181" s="65" t="str">
        <f>IFERROR(H181-'Nátok z PRDS'!H181,"N/A")</f>
        <v>N/A</v>
      </c>
    </row>
    <row r="182" spans="1:12" x14ac:dyDescent="0.3">
      <c r="A182" s="300"/>
      <c r="B182" s="300"/>
      <c r="C182" s="79" t="s">
        <v>77</v>
      </c>
      <c r="D182" s="300"/>
      <c r="E182" s="320"/>
      <c r="F182" s="39">
        <v>3.5748000000000002</v>
      </c>
      <c r="G182" s="39">
        <v>5.6677999999999997</v>
      </c>
      <c r="H182" s="35" t="s">
        <v>76</v>
      </c>
      <c r="I182" s="35" t="s">
        <v>76</v>
      </c>
      <c r="L182" s="65" t="str">
        <f>IFERROR(H182-'Nátok z PRDS'!H182,"N/A")</f>
        <v>N/A</v>
      </c>
    </row>
    <row r="183" spans="1:12" x14ac:dyDescent="0.3">
      <c r="A183" s="300"/>
      <c r="B183" s="300"/>
      <c r="C183" s="79" t="s">
        <v>78</v>
      </c>
      <c r="D183" s="300"/>
      <c r="E183" s="321"/>
      <c r="F183" s="35">
        <f>+F181+F182</f>
        <v>12.6533</v>
      </c>
      <c r="G183" s="35">
        <f t="shared" ref="G183" si="55">+G181+G182</f>
        <v>13.471</v>
      </c>
      <c r="H183" s="35">
        <f>+G183-F183</f>
        <v>0.81770000000000032</v>
      </c>
      <c r="I183" s="47">
        <f>+ROUND(IF(H183&gt;0,H183*E181,0),4)</f>
        <v>0</v>
      </c>
      <c r="L183" s="65">
        <f>IFERROR(H183-'Nátok z PRDS'!H183,"N/A")</f>
        <v>0.81770000000000032</v>
      </c>
    </row>
    <row r="184" spans="1:12" x14ac:dyDescent="0.3">
      <c r="A184" s="300"/>
      <c r="B184" s="300"/>
      <c r="C184" s="79" t="s">
        <v>138</v>
      </c>
      <c r="D184" s="300" t="s">
        <v>75</v>
      </c>
      <c r="E184" s="319">
        <v>0</v>
      </c>
      <c r="F184" s="39">
        <v>9.0785</v>
      </c>
      <c r="G184" s="39">
        <v>7.4131</v>
      </c>
      <c r="H184" s="35" t="s">
        <v>76</v>
      </c>
      <c r="I184" s="35" t="s">
        <v>76</v>
      </c>
      <c r="L184" s="65" t="str">
        <f>IFERROR(H184-'Nátok z PRDS'!H184,"N/A")</f>
        <v>N/A</v>
      </c>
    </row>
    <row r="185" spans="1:12" x14ac:dyDescent="0.3">
      <c r="A185" s="300"/>
      <c r="B185" s="300"/>
      <c r="C185" s="79" t="s">
        <v>77</v>
      </c>
      <c r="D185" s="300"/>
      <c r="E185" s="320"/>
      <c r="F185" s="39">
        <v>3.5748000000000002</v>
      </c>
      <c r="G185" s="39">
        <v>5.6677999999999997</v>
      </c>
      <c r="H185" s="35" t="s">
        <v>76</v>
      </c>
      <c r="I185" s="35" t="s">
        <v>76</v>
      </c>
      <c r="L185" s="65" t="str">
        <f>IFERROR(H185-'Nátok z PRDS'!H185,"N/A")</f>
        <v>N/A</v>
      </c>
    </row>
    <row r="186" spans="1:12" x14ac:dyDescent="0.3">
      <c r="A186" s="300"/>
      <c r="B186" s="300"/>
      <c r="C186" s="79" t="s">
        <v>139</v>
      </c>
      <c r="D186" s="300"/>
      <c r="E186" s="321"/>
      <c r="F186" s="35">
        <f>+F184+F185</f>
        <v>12.6533</v>
      </c>
      <c r="G186" s="35">
        <f t="shared" ref="G186" si="56">+G184+G185</f>
        <v>13.0809</v>
      </c>
      <c r="H186" s="35">
        <f>+G186-F186</f>
        <v>0.42759999999999998</v>
      </c>
      <c r="I186" s="47">
        <f>+ROUND(IF(H186&gt;0,H186*E184,0),4)</f>
        <v>0</v>
      </c>
      <c r="L186" s="65">
        <f>IFERROR(H186-'Nátok z PRDS'!H186,"N/A")</f>
        <v>0.42759999999999998</v>
      </c>
    </row>
    <row r="187" spans="1:12" x14ac:dyDescent="0.3">
      <c r="A187" s="300"/>
      <c r="B187" s="300"/>
      <c r="C187" s="79" t="s">
        <v>140</v>
      </c>
      <c r="D187" s="300" t="s">
        <v>75</v>
      </c>
      <c r="E187" s="319">
        <v>0</v>
      </c>
      <c r="F187" s="39">
        <v>9.0785</v>
      </c>
      <c r="G187" s="39">
        <v>7.0228999999999999</v>
      </c>
      <c r="H187" s="35" t="s">
        <v>76</v>
      </c>
      <c r="I187" s="35" t="s">
        <v>76</v>
      </c>
      <c r="L187" s="65" t="str">
        <f>IFERROR(H187-'Nátok z PRDS'!H187,"N/A")</f>
        <v>N/A</v>
      </c>
    </row>
    <row r="188" spans="1:12" x14ac:dyDescent="0.3">
      <c r="A188" s="300"/>
      <c r="B188" s="300"/>
      <c r="C188" s="79" t="s">
        <v>77</v>
      </c>
      <c r="D188" s="300"/>
      <c r="E188" s="320"/>
      <c r="F188" s="39">
        <v>3.5748000000000002</v>
      </c>
      <c r="G188" s="39">
        <v>5.6677999999999997</v>
      </c>
      <c r="H188" s="35" t="s">
        <v>76</v>
      </c>
      <c r="I188" s="35" t="s">
        <v>76</v>
      </c>
      <c r="L188" s="65" t="str">
        <f>IFERROR(H188-'Nátok z PRDS'!H188,"N/A")</f>
        <v>N/A</v>
      </c>
    </row>
    <row r="189" spans="1:12" x14ac:dyDescent="0.3">
      <c r="A189" s="300"/>
      <c r="B189" s="300"/>
      <c r="C189" s="79" t="s">
        <v>141</v>
      </c>
      <c r="D189" s="300"/>
      <c r="E189" s="321"/>
      <c r="F189" s="35">
        <f>+F187+F188</f>
        <v>12.6533</v>
      </c>
      <c r="G189" s="35">
        <f t="shared" ref="G189" si="57">+G187+G188</f>
        <v>12.6907</v>
      </c>
      <c r="H189" s="35">
        <f>+G189-F189</f>
        <v>3.7399999999999878E-2</v>
      </c>
      <c r="I189" s="47">
        <f>+ROUND(IF(H189&gt;0,H189*E187,0),4)</f>
        <v>0</v>
      </c>
      <c r="L189" s="65">
        <f>IFERROR(H189-'Nátok z PRDS'!H189,"N/A")</f>
        <v>3.7399999999999878E-2</v>
      </c>
    </row>
    <row r="190" spans="1:12" x14ac:dyDescent="0.3">
      <c r="A190" s="299" t="s">
        <v>119</v>
      </c>
      <c r="B190" s="300" t="s">
        <v>142</v>
      </c>
      <c r="C190" s="77" t="s">
        <v>73</v>
      </c>
      <c r="D190" s="114"/>
      <c r="E190" s="58">
        <v>0</v>
      </c>
      <c r="F190" s="39"/>
      <c r="G190" s="39"/>
      <c r="H190" s="35">
        <f>+G190-F190</f>
        <v>0</v>
      </c>
      <c r="I190" s="47">
        <f>+ROUND(IF(H190&gt;0,H190*E190,0),4)</f>
        <v>0</v>
      </c>
      <c r="L190" s="65">
        <f>IFERROR(H190-'Nátok z PRDS'!H190,"N/A")</f>
        <v>0</v>
      </c>
    </row>
    <row r="191" spans="1:12" x14ac:dyDescent="0.3">
      <c r="A191" s="299"/>
      <c r="B191" s="300"/>
      <c r="C191" s="77" t="s">
        <v>74</v>
      </c>
      <c r="D191" s="300" t="s">
        <v>75</v>
      </c>
      <c r="E191" s="319">
        <v>0</v>
      </c>
      <c r="F191" s="39"/>
      <c r="G191" s="39"/>
      <c r="H191" s="35" t="s">
        <v>76</v>
      </c>
      <c r="I191" s="35" t="s">
        <v>76</v>
      </c>
      <c r="L191" s="65" t="str">
        <f>IFERROR(H191-'Nátok z PRDS'!H191,"N/A")</f>
        <v>N/A</v>
      </c>
    </row>
    <row r="192" spans="1:12" x14ac:dyDescent="0.3">
      <c r="A192" s="299"/>
      <c r="B192" s="300"/>
      <c r="C192" s="77" t="s">
        <v>77</v>
      </c>
      <c r="D192" s="300"/>
      <c r="E192" s="320"/>
      <c r="F192" s="39"/>
      <c r="G192" s="39"/>
      <c r="H192" s="35" t="s">
        <v>76</v>
      </c>
      <c r="I192" s="35" t="s">
        <v>76</v>
      </c>
      <c r="L192" s="65" t="str">
        <f>IFERROR(H192-'Nátok z PRDS'!H192,"N/A")</f>
        <v>N/A</v>
      </c>
    </row>
    <row r="193" spans="1:12" x14ac:dyDescent="0.3">
      <c r="A193" s="299"/>
      <c r="B193" s="300"/>
      <c r="C193" s="77" t="s">
        <v>78</v>
      </c>
      <c r="D193" s="300"/>
      <c r="E193" s="321"/>
      <c r="F193" s="35">
        <f>+F191+F192</f>
        <v>0</v>
      </c>
      <c r="G193" s="35">
        <f t="shared" ref="G193" si="58">+G191+G192</f>
        <v>0</v>
      </c>
      <c r="H193" s="35">
        <f>+G193-F193</f>
        <v>0</v>
      </c>
      <c r="I193" s="47">
        <f>+ROUND(IF(H193&gt;0,H193*E191,0),4)</f>
        <v>0</v>
      </c>
      <c r="L193" s="65">
        <f>IFERROR(H193-'Nátok z PRDS'!H193,"N/A")</f>
        <v>0</v>
      </c>
    </row>
    <row r="194" spans="1:12" x14ac:dyDescent="0.3">
      <c r="A194" s="311" t="s">
        <v>119</v>
      </c>
      <c r="B194" s="312" t="s">
        <v>143</v>
      </c>
      <c r="C194" s="78" t="s">
        <v>144</v>
      </c>
      <c r="D194" s="115"/>
      <c r="E194" s="59"/>
      <c r="F194" s="43">
        <v>9.7388999999999992</v>
      </c>
      <c r="G194" s="43">
        <v>10.051500000000001</v>
      </c>
      <c r="H194" s="36">
        <f>+G194-F194</f>
        <v>0.31260000000000154</v>
      </c>
      <c r="I194" s="48">
        <f>ROUND(IF(H194&gt;0,H194*E194,0),4)</f>
        <v>0</v>
      </c>
      <c r="L194" s="65">
        <f>IFERROR(H194-'Nátok z PRDS'!H194,"N/A")</f>
        <v>0.31260000000000154</v>
      </c>
    </row>
    <row r="195" spans="1:12" x14ac:dyDescent="0.3">
      <c r="A195" s="311"/>
      <c r="B195" s="312"/>
      <c r="C195" s="78" t="s">
        <v>74</v>
      </c>
      <c r="D195" s="300" t="s">
        <v>75</v>
      </c>
      <c r="E195" s="337"/>
      <c r="F195" s="43">
        <v>9.4550999999999998</v>
      </c>
      <c r="G195" s="43">
        <v>7.9349999999999996</v>
      </c>
      <c r="H195" s="36" t="s">
        <v>76</v>
      </c>
      <c r="I195" s="36" t="s">
        <v>76</v>
      </c>
      <c r="L195" s="65" t="str">
        <f>IFERROR(H195-'Nátok z PRDS'!H195,"N/A")</f>
        <v>N/A</v>
      </c>
    </row>
    <row r="196" spans="1:12" x14ac:dyDescent="0.3">
      <c r="A196" s="311"/>
      <c r="B196" s="312"/>
      <c r="C196" s="78" t="s">
        <v>77</v>
      </c>
      <c r="D196" s="300"/>
      <c r="E196" s="338"/>
      <c r="F196" s="43">
        <v>3.5748000000000002</v>
      </c>
      <c r="G196" s="43">
        <v>5.6677999999999997</v>
      </c>
      <c r="H196" s="36" t="s">
        <v>76</v>
      </c>
      <c r="I196" s="36" t="s">
        <v>76</v>
      </c>
      <c r="L196" s="65" t="str">
        <f>IFERROR(H196-'Nátok z PRDS'!H196,"N/A")</f>
        <v>N/A</v>
      </c>
    </row>
    <row r="197" spans="1:12" x14ac:dyDescent="0.3">
      <c r="A197" s="311"/>
      <c r="B197" s="312"/>
      <c r="C197" s="78" t="s">
        <v>78</v>
      </c>
      <c r="D197" s="300"/>
      <c r="E197" s="339"/>
      <c r="F197" s="36">
        <f>+F195+F196</f>
        <v>13.0299</v>
      </c>
      <c r="G197" s="36">
        <f t="shared" ref="G197" si="59">+G195+G196</f>
        <v>13.602799999999998</v>
      </c>
      <c r="H197" s="36">
        <f>+G197-F197</f>
        <v>0.57289999999999885</v>
      </c>
      <c r="I197" s="48">
        <f>ROUND(IF(H197&gt;0,H197*E195,0),4)</f>
        <v>0</v>
      </c>
      <c r="L197" s="65">
        <f>IFERROR(H197-'Nátok z PRDS'!H197,"N/A")</f>
        <v>0.57289999999999885</v>
      </c>
    </row>
    <row r="198" spans="1:12" x14ac:dyDescent="0.3">
      <c r="A198" s="299" t="s">
        <v>119</v>
      </c>
      <c r="B198" s="300" t="s">
        <v>145</v>
      </c>
      <c r="C198" s="77" t="s">
        <v>74</v>
      </c>
      <c r="D198" s="300" t="s">
        <v>75</v>
      </c>
      <c r="E198" s="319">
        <v>0</v>
      </c>
      <c r="F198" s="39"/>
      <c r="G198" s="39"/>
      <c r="H198" s="35" t="s">
        <v>76</v>
      </c>
      <c r="I198" s="35" t="s">
        <v>76</v>
      </c>
      <c r="L198" s="65" t="str">
        <f>IFERROR(H198-'Nátok z PRDS'!H198,"N/A")</f>
        <v>N/A</v>
      </c>
    </row>
    <row r="199" spans="1:12" x14ac:dyDescent="0.3">
      <c r="A199" s="299"/>
      <c r="B199" s="300"/>
      <c r="C199" s="77" t="s">
        <v>77</v>
      </c>
      <c r="D199" s="300"/>
      <c r="E199" s="320"/>
      <c r="F199" s="39"/>
      <c r="G199" s="39"/>
      <c r="H199" s="35" t="s">
        <v>76</v>
      </c>
      <c r="I199" s="35" t="s">
        <v>76</v>
      </c>
      <c r="L199" s="65" t="str">
        <f>IFERROR(H199-'Nátok z PRDS'!H199,"N/A")</f>
        <v>N/A</v>
      </c>
    </row>
    <row r="200" spans="1:12" x14ac:dyDescent="0.3">
      <c r="A200" s="299"/>
      <c r="B200" s="300"/>
      <c r="C200" s="77" t="s">
        <v>78</v>
      </c>
      <c r="D200" s="300"/>
      <c r="E200" s="321"/>
      <c r="F200" s="35">
        <f>+F198+F199</f>
        <v>0</v>
      </c>
      <c r="G200" s="35">
        <f t="shared" ref="G200" si="60">+G198+G199</f>
        <v>0</v>
      </c>
      <c r="H200" s="35">
        <f>+G200-F200</f>
        <v>0</v>
      </c>
      <c r="I200" s="47">
        <f>+ROUND(IF(H200&gt;0,H200*E198,0),4)</f>
        <v>0</v>
      </c>
      <c r="L200" s="65">
        <f>IFERROR(H200-'Nátok z PRDS'!H200,"N/A")</f>
        <v>0</v>
      </c>
    </row>
    <row r="201" spans="1:12" x14ac:dyDescent="0.3">
      <c r="A201" s="314" t="s">
        <v>119</v>
      </c>
      <c r="B201" s="315" t="s">
        <v>103</v>
      </c>
      <c r="C201" s="103" t="s">
        <v>73</v>
      </c>
      <c r="D201" s="110" t="s">
        <v>76</v>
      </c>
      <c r="E201" s="49" t="s">
        <v>76</v>
      </c>
      <c r="F201" s="49" t="s">
        <v>76</v>
      </c>
      <c r="G201" s="49" t="s">
        <v>76</v>
      </c>
      <c r="H201" s="49" t="s">
        <v>76</v>
      </c>
      <c r="I201" s="49">
        <f>+SUM(I171:I180,I190,I194)</f>
        <v>0</v>
      </c>
      <c r="L201" s="65" t="str">
        <f>IFERROR(H201-'Nátok z PRDS'!H201,"N/A")</f>
        <v>N/A</v>
      </c>
    </row>
    <row r="202" spans="1:12" x14ac:dyDescent="0.3">
      <c r="A202" s="314"/>
      <c r="B202" s="315"/>
      <c r="C202" s="103" t="s">
        <v>78</v>
      </c>
      <c r="D202" s="84" t="s">
        <v>75</v>
      </c>
      <c r="E202" s="49">
        <f>+E181+E184+E187+E191+E198+E195</f>
        <v>0</v>
      </c>
      <c r="F202" s="49" t="s">
        <v>76</v>
      </c>
      <c r="G202" s="49" t="s">
        <v>76</v>
      </c>
      <c r="H202" s="49" t="s">
        <v>76</v>
      </c>
      <c r="I202" s="49">
        <f>+I183+I186+I189+I193+I200+I197</f>
        <v>0</v>
      </c>
      <c r="L202" s="65" t="str">
        <f>IFERROR(H202-'Nátok z PRDS'!H202,"N/A")</f>
        <v>N/A</v>
      </c>
    </row>
    <row r="203" spans="1:12" x14ac:dyDescent="0.3">
      <c r="A203" s="300" t="s">
        <v>146</v>
      </c>
      <c r="B203" s="300" t="s">
        <v>147</v>
      </c>
      <c r="C203" s="79" t="s">
        <v>127</v>
      </c>
      <c r="D203" s="114"/>
      <c r="E203" s="58"/>
      <c r="F203" s="39">
        <v>3.056</v>
      </c>
      <c r="G203" s="39">
        <v>3.1417000000000002</v>
      </c>
      <c r="H203" s="35">
        <f t="shared" ref="H203:H211" si="61">+G203-F203</f>
        <v>8.5700000000000109E-2</v>
      </c>
      <c r="I203" s="47">
        <f t="shared" ref="I203:I211" si="62">+ROUND(IF(H203&gt;0,H203*E203,0),4)</f>
        <v>0</v>
      </c>
      <c r="L203" s="65"/>
    </row>
    <row r="204" spans="1:12" x14ac:dyDescent="0.3">
      <c r="A204" s="300"/>
      <c r="B204" s="300"/>
      <c r="C204" s="79" t="s">
        <v>128</v>
      </c>
      <c r="D204" s="114"/>
      <c r="E204" s="58"/>
      <c r="F204" s="39">
        <v>2.7747000000000002</v>
      </c>
      <c r="G204" s="39">
        <v>2.8525</v>
      </c>
      <c r="H204" s="35">
        <f t="shared" si="61"/>
        <v>7.7799999999999869E-2</v>
      </c>
      <c r="I204" s="47">
        <f t="shared" si="62"/>
        <v>0</v>
      </c>
      <c r="L204" s="65"/>
    </row>
    <row r="205" spans="1:12" x14ac:dyDescent="0.3">
      <c r="A205" s="300"/>
      <c r="B205" s="300"/>
      <c r="C205" s="79" t="s">
        <v>129</v>
      </c>
      <c r="D205" s="114"/>
      <c r="E205" s="58"/>
      <c r="F205" s="39">
        <v>2.3727</v>
      </c>
      <c r="G205" s="39">
        <v>2.4392</v>
      </c>
      <c r="H205" s="35">
        <f t="shared" si="61"/>
        <v>6.6500000000000004E-2</v>
      </c>
      <c r="I205" s="47">
        <f t="shared" si="62"/>
        <v>0</v>
      </c>
      <c r="L205" s="65"/>
    </row>
    <row r="206" spans="1:12" x14ac:dyDescent="0.3">
      <c r="A206" s="300"/>
      <c r="B206" s="300"/>
      <c r="C206" s="79" t="s">
        <v>148</v>
      </c>
      <c r="D206" s="114"/>
      <c r="E206" s="58"/>
      <c r="F206" s="39"/>
      <c r="G206" s="39"/>
      <c r="H206" s="35">
        <f t="shared" si="61"/>
        <v>0</v>
      </c>
      <c r="I206" s="47">
        <f t="shared" si="62"/>
        <v>0</v>
      </c>
      <c r="L206" s="65">
        <f>IFERROR(H206-'Nátok z PRDS'!H206,"N/A")</f>
        <v>0</v>
      </c>
    </row>
    <row r="207" spans="1:12" x14ac:dyDescent="0.3">
      <c r="A207" s="300"/>
      <c r="B207" s="300"/>
      <c r="C207" s="79" t="s">
        <v>149</v>
      </c>
      <c r="D207" s="114"/>
      <c r="E207" s="58"/>
      <c r="F207" s="39"/>
      <c r="G207" s="39"/>
      <c r="H207" s="35">
        <f t="shared" si="61"/>
        <v>0</v>
      </c>
      <c r="I207" s="47">
        <f t="shared" si="62"/>
        <v>0</v>
      </c>
      <c r="L207" s="65">
        <f>IFERROR(H207-'Nátok z PRDS'!H207,"N/A")</f>
        <v>0</v>
      </c>
    </row>
    <row r="208" spans="1:12" x14ac:dyDescent="0.3">
      <c r="A208" s="300"/>
      <c r="B208" s="300"/>
      <c r="C208" s="79" t="s">
        <v>150</v>
      </c>
      <c r="D208" s="114"/>
      <c r="E208" s="58"/>
      <c r="F208" s="39"/>
      <c r="G208" s="39"/>
      <c r="H208" s="35">
        <f t="shared" si="61"/>
        <v>0</v>
      </c>
      <c r="I208" s="47">
        <f t="shared" si="62"/>
        <v>0</v>
      </c>
      <c r="L208" s="65">
        <f>IFERROR(H208-'Nátok z PRDS'!H208,"N/A")</f>
        <v>0</v>
      </c>
    </row>
    <row r="209" spans="1:12" x14ac:dyDescent="0.3">
      <c r="A209" s="300"/>
      <c r="B209" s="300"/>
      <c r="C209" s="79" t="s">
        <v>151</v>
      </c>
      <c r="D209" s="114"/>
      <c r="E209" s="58"/>
      <c r="F209" s="39"/>
      <c r="G209" s="39"/>
      <c r="H209" s="35">
        <f t="shared" si="61"/>
        <v>0</v>
      </c>
      <c r="I209" s="47">
        <f t="shared" si="62"/>
        <v>0</v>
      </c>
      <c r="L209" s="65">
        <f>IFERROR(H209-'Nátok z PRDS'!H209,"N/A")</f>
        <v>0</v>
      </c>
    </row>
    <row r="210" spans="1:12" x14ac:dyDescent="0.3">
      <c r="A210" s="300"/>
      <c r="B210" s="300"/>
      <c r="C210" s="79" t="s">
        <v>152</v>
      </c>
      <c r="D210" s="114"/>
      <c r="E210" s="58"/>
      <c r="F210" s="39"/>
      <c r="G210" s="39"/>
      <c r="H210" s="35">
        <f t="shared" si="61"/>
        <v>0</v>
      </c>
      <c r="I210" s="47">
        <f t="shared" si="62"/>
        <v>0</v>
      </c>
      <c r="L210" s="65">
        <f>IFERROR(H210-'Nátok z PRDS'!H210,"N/A")</f>
        <v>0</v>
      </c>
    </row>
    <row r="211" spans="1:12" x14ac:dyDescent="0.3">
      <c r="A211" s="300"/>
      <c r="B211" s="300"/>
      <c r="C211" s="79" t="s">
        <v>153</v>
      </c>
      <c r="D211" s="114"/>
      <c r="E211" s="58"/>
      <c r="F211" s="39"/>
      <c r="G211" s="39"/>
      <c r="H211" s="35">
        <f t="shared" si="61"/>
        <v>0</v>
      </c>
      <c r="I211" s="47">
        <f t="shared" si="62"/>
        <v>0</v>
      </c>
      <c r="L211" s="65">
        <f>IFERROR(H211-'Nátok z PRDS'!H211,"N/A")</f>
        <v>0</v>
      </c>
    </row>
    <row r="212" spans="1:12" x14ac:dyDescent="0.3">
      <c r="A212" s="300"/>
      <c r="B212" s="300"/>
      <c r="C212" s="77" t="s">
        <v>74</v>
      </c>
      <c r="D212" s="300" t="s">
        <v>75</v>
      </c>
      <c r="E212" s="319">
        <v>0</v>
      </c>
      <c r="F212" s="39">
        <v>8.1603999999999992</v>
      </c>
      <c r="G212" s="39">
        <v>7.5388999999999999</v>
      </c>
      <c r="H212" s="35" t="s">
        <v>76</v>
      </c>
      <c r="I212" s="35" t="s">
        <v>76</v>
      </c>
      <c r="L212" s="65" t="str">
        <f>IFERROR(H212-'Nátok z PRDS'!H212,"N/A")</f>
        <v>N/A</v>
      </c>
    </row>
    <row r="213" spans="1:12" x14ac:dyDescent="0.3">
      <c r="A213" s="300"/>
      <c r="B213" s="300"/>
      <c r="C213" s="77" t="s">
        <v>77</v>
      </c>
      <c r="D213" s="300"/>
      <c r="E213" s="320"/>
      <c r="F213" s="39">
        <v>0.74039999999999995</v>
      </c>
      <c r="G213" s="39">
        <v>2.4083999999999999</v>
      </c>
      <c r="H213" s="35" t="s">
        <v>76</v>
      </c>
      <c r="I213" s="35" t="s">
        <v>76</v>
      </c>
      <c r="L213" s="65" t="str">
        <f>IFERROR(H213-'Nátok z PRDS'!H213,"N/A")</f>
        <v>N/A</v>
      </c>
    </row>
    <row r="214" spans="1:12" x14ac:dyDescent="0.3">
      <c r="A214" s="300"/>
      <c r="B214" s="300"/>
      <c r="C214" s="77" t="s">
        <v>78</v>
      </c>
      <c r="D214" s="300"/>
      <c r="E214" s="321"/>
      <c r="F214" s="35">
        <f>+F212+F213</f>
        <v>8.9007999999999985</v>
      </c>
      <c r="G214" s="35">
        <f t="shared" ref="G214" si="63">+G212+G213</f>
        <v>9.9473000000000003</v>
      </c>
      <c r="H214" s="35">
        <f>+G214-F214</f>
        <v>1.0465000000000018</v>
      </c>
      <c r="I214" s="47">
        <f>+ROUND(IF(H214&gt;0,H214*E212,0),4)</f>
        <v>0</v>
      </c>
      <c r="L214" s="65">
        <f>IFERROR(H214-'Nátok z PRDS'!H214,"N/A")</f>
        <v>1.0465000000000018</v>
      </c>
    </row>
    <row r="215" spans="1:12" x14ac:dyDescent="0.3">
      <c r="A215" s="300"/>
      <c r="B215" s="300"/>
      <c r="C215" s="77" t="s">
        <v>138</v>
      </c>
      <c r="D215" s="300" t="s">
        <v>75</v>
      </c>
      <c r="E215" s="319">
        <v>0</v>
      </c>
      <c r="F215" s="39">
        <v>8.1603999999999992</v>
      </c>
      <c r="G215" s="39">
        <v>7.1619999999999999</v>
      </c>
      <c r="H215" s="35" t="s">
        <v>76</v>
      </c>
      <c r="I215" s="35" t="s">
        <v>76</v>
      </c>
      <c r="L215" s="65" t="str">
        <f>IFERROR(H215-'Nátok z PRDS'!H215,"N/A")</f>
        <v>N/A</v>
      </c>
    </row>
    <row r="216" spans="1:12" x14ac:dyDescent="0.3">
      <c r="A216" s="300"/>
      <c r="B216" s="300"/>
      <c r="C216" s="77" t="s">
        <v>77</v>
      </c>
      <c r="D216" s="300"/>
      <c r="E216" s="320"/>
      <c r="F216" s="39">
        <v>0.74039999999999995</v>
      </c>
      <c r="G216" s="39">
        <v>2.4083999999999999</v>
      </c>
      <c r="H216" s="35" t="s">
        <v>76</v>
      </c>
      <c r="I216" s="35" t="s">
        <v>76</v>
      </c>
      <c r="L216" s="65" t="str">
        <f>IFERROR(H216-'Nátok z PRDS'!H216,"N/A")</f>
        <v>N/A</v>
      </c>
    </row>
    <row r="217" spans="1:12" x14ac:dyDescent="0.3">
      <c r="A217" s="300"/>
      <c r="B217" s="300"/>
      <c r="C217" s="79" t="s">
        <v>139</v>
      </c>
      <c r="D217" s="300"/>
      <c r="E217" s="321"/>
      <c r="F217" s="35">
        <f>+F215+F216</f>
        <v>8.9007999999999985</v>
      </c>
      <c r="G217" s="35">
        <f t="shared" ref="G217" si="64">+G215+G216</f>
        <v>9.5703999999999994</v>
      </c>
      <c r="H217" s="35">
        <f>+G217-F217</f>
        <v>0.66960000000000086</v>
      </c>
      <c r="I217" s="47">
        <f>+ROUND(IF(H217&gt;0,H217*E215,0),4)</f>
        <v>0</v>
      </c>
      <c r="L217" s="65">
        <f>IFERROR(H217-'Nátok z PRDS'!H217,"N/A")</f>
        <v>0.66960000000000086</v>
      </c>
    </row>
    <row r="218" spans="1:12" x14ac:dyDescent="0.3">
      <c r="A218" s="300"/>
      <c r="B218" s="300"/>
      <c r="C218" s="77" t="s">
        <v>140</v>
      </c>
      <c r="D218" s="300" t="s">
        <v>75</v>
      </c>
      <c r="E218" s="319">
        <v>0</v>
      </c>
      <c r="F218" s="39">
        <v>8.1603999999999992</v>
      </c>
      <c r="G218" s="39">
        <v>6.7850000000000001</v>
      </c>
      <c r="H218" s="35" t="s">
        <v>76</v>
      </c>
      <c r="I218" s="35" t="s">
        <v>76</v>
      </c>
      <c r="L218" s="65" t="str">
        <f>IFERROR(H218-'Nátok z PRDS'!H218,"N/A")</f>
        <v>N/A</v>
      </c>
    </row>
    <row r="219" spans="1:12" x14ac:dyDescent="0.3">
      <c r="A219" s="300"/>
      <c r="B219" s="300"/>
      <c r="C219" s="77" t="s">
        <v>77</v>
      </c>
      <c r="D219" s="300"/>
      <c r="E219" s="320"/>
      <c r="F219" s="39">
        <v>0.74039999999999995</v>
      </c>
      <c r="G219" s="39">
        <v>2.4083999999999999</v>
      </c>
      <c r="H219" s="35" t="s">
        <v>76</v>
      </c>
      <c r="I219" s="35" t="s">
        <v>76</v>
      </c>
      <c r="L219" s="65" t="str">
        <f>IFERROR(H219-'Nátok z PRDS'!H219,"N/A")</f>
        <v>N/A</v>
      </c>
    </row>
    <row r="220" spans="1:12" x14ac:dyDescent="0.3">
      <c r="A220" s="300"/>
      <c r="B220" s="300"/>
      <c r="C220" s="79" t="s">
        <v>141</v>
      </c>
      <c r="D220" s="300"/>
      <c r="E220" s="321"/>
      <c r="F220" s="35">
        <f>+F218+F219</f>
        <v>8.9007999999999985</v>
      </c>
      <c r="G220" s="35">
        <f t="shared" ref="G220" si="65">+G218+G219</f>
        <v>9.1934000000000005</v>
      </c>
      <c r="H220" s="35">
        <f>+G220-F220</f>
        <v>0.29260000000000197</v>
      </c>
      <c r="I220" s="47">
        <f>+ROUND(IF(H220&gt;0,H220*E218,0),4)</f>
        <v>0</v>
      </c>
      <c r="L220" s="65">
        <f>IFERROR(H220-'Nátok z PRDS'!H220,"N/A")</f>
        <v>0.29260000000000197</v>
      </c>
    </row>
    <row r="221" spans="1:12" x14ac:dyDescent="0.3">
      <c r="A221" s="314" t="s">
        <v>146</v>
      </c>
      <c r="B221" s="315" t="s">
        <v>103</v>
      </c>
      <c r="C221" s="103" t="s">
        <v>73</v>
      </c>
      <c r="D221" s="110" t="s">
        <v>76</v>
      </c>
      <c r="E221" s="49" t="s">
        <v>76</v>
      </c>
      <c r="F221" s="49" t="s">
        <v>76</v>
      </c>
      <c r="G221" s="49" t="s">
        <v>76</v>
      </c>
      <c r="H221" s="49" t="s">
        <v>76</v>
      </c>
      <c r="I221" s="90">
        <f>+SUM(I203:I211)</f>
        <v>0</v>
      </c>
      <c r="K221" t="s">
        <v>188</v>
      </c>
      <c r="L221" s="68">
        <f>SUM(L5:L220)</f>
        <v>48.088699999999996</v>
      </c>
    </row>
    <row r="222" spans="1:12" ht="15" thickBot="1" x14ac:dyDescent="0.35">
      <c r="A222" s="314"/>
      <c r="B222" s="315"/>
      <c r="C222" s="104" t="s">
        <v>78</v>
      </c>
      <c r="D222" s="85" t="s">
        <v>75</v>
      </c>
      <c r="E222" s="89">
        <f>+E212+E215+E218</f>
        <v>0</v>
      </c>
      <c r="F222" s="89" t="s">
        <v>76</v>
      </c>
      <c r="G222" s="89" t="s">
        <v>76</v>
      </c>
      <c r="H222" s="89" t="s">
        <v>76</v>
      </c>
      <c r="I222" s="91">
        <f>+I214+I217+I220</f>
        <v>0</v>
      </c>
    </row>
    <row r="223" spans="1:12" ht="15" thickBot="1" x14ac:dyDescent="0.35">
      <c r="A223" s="74"/>
      <c r="B223" s="99"/>
      <c r="C223" s="81" t="s">
        <v>155</v>
      </c>
      <c r="D223" s="86"/>
      <c r="E223" s="52" t="s">
        <v>76</v>
      </c>
      <c r="F223" s="52" t="s">
        <v>76</v>
      </c>
      <c r="G223" s="52" t="s">
        <v>76</v>
      </c>
      <c r="H223" s="52" t="s">
        <v>76</v>
      </c>
      <c r="I223" s="53">
        <f>ROUND(SUM(I77:I78,I169:I170,I201:I202,I221:I222),4)</f>
        <v>0</v>
      </c>
    </row>
    <row r="224" spans="1:12" ht="15" thickBot="1" x14ac:dyDescent="0.35">
      <c r="A224" s="74"/>
      <c r="B224" s="99"/>
      <c r="C224" s="82" t="s">
        <v>156</v>
      </c>
      <c r="D224" s="87"/>
      <c r="E224" s="50" t="s">
        <v>76</v>
      </c>
      <c r="F224" s="50" t="s">
        <v>76</v>
      </c>
      <c r="G224" s="50" t="s">
        <v>76</v>
      </c>
      <c r="H224" s="50" t="s">
        <v>76</v>
      </c>
      <c r="I224" s="51">
        <f>ROUND(I225-I223,4)</f>
        <v>0</v>
      </c>
    </row>
    <row r="225" spans="1:9" ht="16.2" thickBot="1" x14ac:dyDescent="0.35">
      <c r="A225" s="74"/>
      <c r="B225" s="99"/>
      <c r="C225" s="83" t="s">
        <v>159</v>
      </c>
      <c r="D225" s="88"/>
      <c r="E225" s="56" t="s">
        <v>76</v>
      </c>
      <c r="F225" s="56" t="s">
        <v>76</v>
      </c>
      <c r="G225" s="56" t="s">
        <v>76</v>
      </c>
      <c r="H225" s="56" t="s">
        <v>76</v>
      </c>
      <c r="I225" s="57">
        <f>+ROUND(I223*1.2,4)</f>
        <v>0</v>
      </c>
    </row>
  </sheetData>
  <sheetProtection sheet="1" selectLockedCells="1"/>
  <mergeCells count="169">
    <mergeCell ref="A1:I1"/>
    <mergeCell ref="A2:A4"/>
    <mergeCell ref="B2:B4"/>
    <mergeCell ref="C2:C4"/>
    <mergeCell ref="D2:D4"/>
    <mergeCell ref="A5:A8"/>
    <mergeCell ref="B5:B8"/>
    <mergeCell ref="D6:D8"/>
    <mergeCell ref="E6:E8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A29:A35"/>
    <mergeCell ref="B29:B35"/>
    <mergeCell ref="D30:D32"/>
    <mergeCell ref="E30:E32"/>
    <mergeCell ref="D33:D35"/>
    <mergeCell ref="E33:E35"/>
    <mergeCell ref="A21:A28"/>
    <mergeCell ref="B21:B28"/>
    <mergeCell ref="D23:D25"/>
    <mergeCell ref="E23:E25"/>
    <mergeCell ref="D26:D28"/>
    <mergeCell ref="E26:E28"/>
    <mergeCell ref="A43:A49"/>
    <mergeCell ref="B43:B49"/>
    <mergeCell ref="D44:D46"/>
    <mergeCell ref="E44:E46"/>
    <mergeCell ref="D47:D49"/>
    <mergeCell ref="E47:E49"/>
    <mergeCell ref="A36:A42"/>
    <mergeCell ref="B36:B42"/>
    <mergeCell ref="D37:D39"/>
    <mergeCell ref="E37:E39"/>
    <mergeCell ref="D40:D42"/>
    <mergeCell ref="E40:E42"/>
    <mergeCell ref="A57:A63"/>
    <mergeCell ref="B57:B63"/>
    <mergeCell ref="D58:D60"/>
    <mergeCell ref="E58:E60"/>
    <mergeCell ref="D61:D63"/>
    <mergeCell ref="E61:E63"/>
    <mergeCell ref="A50:A56"/>
    <mergeCell ref="B50:B56"/>
    <mergeCell ref="D51:D53"/>
    <mergeCell ref="E51:E53"/>
    <mergeCell ref="D54:D56"/>
    <mergeCell ref="E54:E56"/>
    <mergeCell ref="A64:A76"/>
    <mergeCell ref="B64:B76"/>
    <mergeCell ref="D65:D67"/>
    <mergeCell ref="E65:E67"/>
    <mergeCell ref="D68:D70"/>
    <mergeCell ref="E68:E70"/>
    <mergeCell ref="D71:D73"/>
    <mergeCell ref="E71:E73"/>
    <mergeCell ref="D74:D76"/>
    <mergeCell ref="E74:E76"/>
    <mergeCell ref="A84:A88"/>
    <mergeCell ref="B84:B88"/>
    <mergeCell ref="D86:D88"/>
    <mergeCell ref="E86:E88"/>
    <mergeCell ref="A89:A93"/>
    <mergeCell ref="B89:B93"/>
    <mergeCell ref="D91:D93"/>
    <mergeCell ref="E91:E93"/>
    <mergeCell ref="A77:A78"/>
    <mergeCell ref="B77:B78"/>
    <mergeCell ref="A79:A83"/>
    <mergeCell ref="B79:B83"/>
    <mergeCell ref="D81:D83"/>
    <mergeCell ref="E81:E83"/>
    <mergeCell ref="A102:A109"/>
    <mergeCell ref="B102:B109"/>
    <mergeCell ref="D104:D106"/>
    <mergeCell ref="E104:E106"/>
    <mergeCell ref="D107:D109"/>
    <mergeCell ref="E107:E109"/>
    <mergeCell ref="A94:A101"/>
    <mergeCell ref="B94:B101"/>
    <mergeCell ref="D96:D98"/>
    <mergeCell ref="E96:E98"/>
    <mergeCell ref="D99:D101"/>
    <mergeCell ref="E99:E101"/>
    <mergeCell ref="A118:A125"/>
    <mergeCell ref="B118:B125"/>
    <mergeCell ref="D120:D122"/>
    <mergeCell ref="E120:E122"/>
    <mergeCell ref="D123:D125"/>
    <mergeCell ref="E123:E125"/>
    <mergeCell ref="A110:A117"/>
    <mergeCell ref="B110:B117"/>
    <mergeCell ref="D112:D114"/>
    <mergeCell ref="E112:E114"/>
    <mergeCell ref="D115:D117"/>
    <mergeCell ref="E115:E117"/>
    <mergeCell ref="A134:A135"/>
    <mergeCell ref="B134:B135"/>
    <mergeCell ref="A136:A140"/>
    <mergeCell ref="B136:B140"/>
    <mergeCell ref="D138:D140"/>
    <mergeCell ref="E138:E140"/>
    <mergeCell ref="A126:A133"/>
    <mergeCell ref="B126:B133"/>
    <mergeCell ref="D128:D130"/>
    <mergeCell ref="E128:E130"/>
    <mergeCell ref="D131:D133"/>
    <mergeCell ref="E131:E133"/>
    <mergeCell ref="A141:A146"/>
    <mergeCell ref="B141:B146"/>
    <mergeCell ref="D144:D146"/>
    <mergeCell ref="E144:E146"/>
    <mergeCell ref="A147:A154"/>
    <mergeCell ref="B147:B154"/>
    <mergeCell ref="D149:D151"/>
    <mergeCell ref="E149:E151"/>
    <mergeCell ref="D152:D154"/>
    <mergeCell ref="E152:E154"/>
    <mergeCell ref="A155:A168"/>
    <mergeCell ref="B155:B168"/>
    <mergeCell ref="D157:D159"/>
    <mergeCell ref="E157:E159"/>
    <mergeCell ref="D160:D162"/>
    <mergeCell ref="E160:E162"/>
    <mergeCell ref="D163:D165"/>
    <mergeCell ref="E163:E165"/>
    <mergeCell ref="D166:D168"/>
    <mergeCell ref="E166:E168"/>
    <mergeCell ref="A169:A170"/>
    <mergeCell ref="B169:B17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A198:A200"/>
    <mergeCell ref="B198:B200"/>
    <mergeCell ref="D198:D200"/>
    <mergeCell ref="E198:E200"/>
    <mergeCell ref="A201:A202"/>
    <mergeCell ref="B201:B202"/>
    <mergeCell ref="A190:A193"/>
    <mergeCell ref="B190:B193"/>
    <mergeCell ref="D191:D193"/>
    <mergeCell ref="E191:E193"/>
    <mergeCell ref="A194:A197"/>
    <mergeCell ref="B194:B197"/>
    <mergeCell ref="D195:D197"/>
    <mergeCell ref="E195:E197"/>
    <mergeCell ref="A221:A222"/>
    <mergeCell ref="B221:B222"/>
    <mergeCell ref="A203:A220"/>
    <mergeCell ref="B203:B220"/>
    <mergeCell ref="D212:D214"/>
    <mergeCell ref="E212:E214"/>
    <mergeCell ref="D215:D217"/>
    <mergeCell ref="E215:E217"/>
    <mergeCell ref="D218:D220"/>
    <mergeCell ref="E218:E220"/>
  </mergeCells>
  <pageMargins left="0.7" right="0.7" top="0.75" bottom="0.75" header="0.3" footer="0.3"/>
  <pageSetup paperSize="9" orientation="portrait" r:id="rId1"/>
  <headerFooter>
    <oddHeader>&amp;L&amp;"Calibri"&amp;12&amp;K000000         INTERNÉ&amp;1#_x000D_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9"/>
  <sheetViews>
    <sheetView workbookViewId="0"/>
  </sheetViews>
  <sheetFormatPr defaultRowHeight="14.4" x14ac:dyDescent="0.3"/>
  <cols>
    <col min="1" max="1" width="30.88671875" customWidth="1"/>
  </cols>
  <sheetData>
    <row r="1" spans="1:1" x14ac:dyDescent="0.3">
      <c r="A1" s="5" t="s">
        <v>192</v>
      </c>
    </row>
    <row r="2" spans="1:1" x14ac:dyDescent="0.3">
      <c r="A2" s="5" t="s">
        <v>193</v>
      </c>
    </row>
    <row r="3" spans="1:1" x14ac:dyDescent="0.3">
      <c r="A3" s="5" t="s">
        <v>194</v>
      </c>
    </row>
    <row r="4" spans="1:1" x14ac:dyDescent="0.3">
      <c r="A4" s="5" t="s">
        <v>195</v>
      </c>
    </row>
    <row r="5" spans="1:1" x14ac:dyDescent="0.3">
      <c r="A5" s="5" t="s">
        <v>196</v>
      </c>
    </row>
    <row r="6" spans="1:1" x14ac:dyDescent="0.3">
      <c r="A6" s="5" t="s">
        <v>197</v>
      </c>
    </row>
    <row r="7" spans="1:1" x14ac:dyDescent="0.3">
      <c r="A7" s="5" t="s">
        <v>198</v>
      </c>
    </row>
    <row r="8" spans="1:1" x14ac:dyDescent="0.3">
      <c r="A8" s="5" t="s">
        <v>199</v>
      </c>
    </row>
    <row r="9" spans="1:1" x14ac:dyDescent="0.3">
      <c r="A9" s="5" t="s">
        <v>200</v>
      </c>
    </row>
    <row r="10" spans="1:1" x14ac:dyDescent="0.3">
      <c r="A10" s="5" t="s">
        <v>201</v>
      </c>
    </row>
    <row r="11" spans="1:1" x14ac:dyDescent="0.3">
      <c r="A11" s="5" t="s">
        <v>202</v>
      </c>
    </row>
    <row r="12" spans="1:1" x14ac:dyDescent="0.3">
      <c r="A12" s="5" t="s">
        <v>203</v>
      </c>
    </row>
    <row r="13" spans="1:1" x14ac:dyDescent="0.3">
      <c r="A13" s="5" t="s">
        <v>204</v>
      </c>
    </row>
    <row r="14" spans="1:1" x14ac:dyDescent="0.3">
      <c r="A14" s="5" t="s">
        <v>205</v>
      </c>
    </row>
    <row r="15" spans="1:1" x14ac:dyDescent="0.3">
      <c r="A15" s="5" t="s">
        <v>206</v>
      </c>
    </row>
    <row r="16" spans="1:1" x14ac:dyDescent="0.3">
      <c r="A16" s="5" t="s">
        <v>207</v>
      </c>
    </row>
    <row r="17" spans="1:1" x14ac:dyDescent="0.3">
      <c r="A17" s="5" t="s">
        <v>208</v>
      </c>
    </row>
    <row r="18" spans="1:1" x14ac:dyDescent="0.3">
      <c r="A18" s="5" t="s">
        <v>209</v>
      </c>
    </row>
    <row r="19" spans="1:1" x14ac:dyDescent="0.3">
      <c r="A19" s="5" t="s">
        <v>210</v>
      </c>
    </row>
    <row r="20" spans="1:1" x14ac:dyDescent="0.3">
      <c r="A20" s="5" t="s">
        <v>211</v>
      </c>
    </row>
    <row r="21" spans="1:1" x14ac:dyDescent="0.3">
      <c r="A21" s="5" t="s">
        <v>212</v>
      </c>
    </row>
    <row r="22" spans="1:1" x14ac:dyDescent="0.3">
      <c r="A22" s="5" t="s">
        <v>213</v>
      </c>
    </row>
    <row r="23" spans="1:1" x14ac:dyDescent="0.3">
      <c r="A23" s="5" t="s">
        <v>214</v>
      </c>
    </row>
    <row r="24" spans="1:1" x14ac:dyDescent="0.3">
      <c r="A24" s="5" t="s">
        <v>215</v>
      </c>
    </row>
    <row r="25" spans="1:1" x14ac:dyDescent="0.3">
      <c r="A25" s="5" t="s">
        <v>216</v>
      </c>
    </row>
    <row r="26" spans="1:1" x14ac:dyDescent="0.3">
      <c r="A26" s="5" t="s">
        <v>217</v>
      </c>
    </row>
    <row r="27" spans="1:1" x14ac:dyDescent="0.3">
      <c r="A27" s="5" t="s">
        <v>218</v>
      </c>
    </row>
    <row r="28" spans="1:1" x14ac:dyDescent="0.3">
      <c r="A28" s="5" t="s">
        <v>219</v>
      </c>
    </row>
    <row r="29" spans="1:1" x14ac:dyDescent="0.3">
      <c r="A29" s="5" t="s">
        <v>220</v>
      </c>
    </row>
    <row r="30" spans="1:1" x14ac:dyDescent="0.3">
      <c r="A30" s="5" t="s">
        <v>221</v>
      </c>
    </row>
    <row r="31" spans="1:1" x14ac:dyDescent="0.3">
      <c r="A31" s="5" t="s">
        <v>222</v>
      </c>
    </row>
    <row r="32" spans="1:1" x14ac:dyDescent="0.3">
      <c r="A32" s="5" t="s">
        <v>223</v>
      </c>
    </row>
    <row r="33" spans="1:1" x14ac:dyDescent="0.3">
      <c r="A33" s="5" t="s">
        <v>224</v>
      </c>
    </row>
    <row r="34" spans="1:1" x14ac:dyDescent="0.3">
      <c r="A34" s="5" t="s">
        <v>225</v>
      </c>
    </row>
    <row r="35" spans="1:1" x14ac:dyDescent="0.3">
      <c r="A35" s="5" t="s">
        <v>226</v>
      </c>
    </row>
    <row r="36" spans="1:1" x14ac:dyDescent="0.3">
      <c r="A36" s="5" t="s">
        <v>227</v>
      </c>
    </row>
    <row r="37" spans="1:1" x14ac:dyDescent="0.3">
      <c r="A37" s="5" t="s">
        <v>228</v>
      </c>
    </row>
    <row r="38" spans="1:1" x14ac:dyDescent="0.3">
      <c r="A38" s="5" t="s">
        <v>229</v>
      </c>
    </row>
    <row r="39" spans="1:1" x14ac:dyDescent="0.3">
      <c r="A39" s="5" t="s">
        <v>230</v>
      </c>
    </row>
    <row r="40" spans="1:1" x14ac:dyDescent="0.3">
      <c r="A40" s="5" t="s">
        <v>231</v>
      </c>
    </row>
    <row r="41" spans="1:1" x14ac:dyDescent="0.3">
      <c r="A41" s="5" t="s">
        <v>232</v>
      </c>
    </row>
    <row r="42" spans="1:1" x14ac:dyDescent="0.3">
      <c r="A42" s="5" t="s">
        <v>233</v>
      </c>
    </row>
    <row r="43" spans="1:1" x14ac:dyDescent="0.3">
      <c r="A43" s="5" t="s">
        <v>234</v>
      </c>
    </row>
    <row r="44" spans="1:1" x14ac:dyDescent="0.3">
      <c r="A44" s="5" t="s">
        <v>235</v>
      </c>
    </row>
    <row r="45" spans="1:1" x14ac:dyDescent="0.3">
      <c r="A45" s="5" t="s">
        <v>236</v>
      </c>
    </row>
    <row r="46" spans="1:1" x14ac:dyDescent="0.3">
      <c r="A46" s="5" t="s">
        <v>237</v>
      </c>
    </row>
    <row r="47" spans="1:1" x14ac:dyDescent="0.3">
      <c r="A47" s="5" t="s">
        <v>238</v>
      </c>
    </row>
    <row r="48" spans="1:1" x14ac:dyDescent="0.3">
      <c r="A48" s="5" t="s">
        <v>239</v>
      </c>
    </row>
    <row r="49" spans="1:1" x14ac:dyDescent="0.3">
      <c r="A49" s="5" t="s">
        <v>240</v>
      </c>
    </row>
    <row r="50" spans="1:1" x14ac:dyDescent="0.3">
      <c r="A50" s="5" t="s">
        <v>241</v>
      </c>
    </row>
    <row r="51" spans="1:1" x14ac:dyDescent="0.3">
      <c r="A51" s="5" t="s">
        <v>242</v>
      </c>
    </row>
    <row r="52" spans="1:1" x14ac:dyDescent="0.3">
      <c r="A52" s="5" t="s">
        <v>243</v>
      </c>
    </row>
    <row r="53" spans="1:1" x14ac:dyDescent="0.3">
      <c r="A53" s="5" t="s">
        <v>244</v>
      </c>
    </row>
    <row r="54" spans="1:1" x14ac:dyDescent="0.3">
      <c r="A54" s="5" t="s">
        <v>245</v>
      </c>
    </row>
    <row r="55" spans="1:1" x14ac:dyDescent="0.3">
      <c r="A55" s="5" t="s">
        <v>246</v>
      </c>
    </row>
    <row r="56" spans="1:1" x14ac:dyDescent="0.3">
      <c r="A56" s="5" t="s">
        <v>247</v>
      </c>
    </row>
    <row r="57" spans="1:1" x14ac:dyDescent="0.3">
      <c r="A57" s="5" t="s">
        <v>248</v>
      </c>
    </row>
    <row r="58" spans="1:1" x14ac:dyDescent="0.3">
      <c r="A58" s="5" t="s">
        <v>249</v>
      </c>
    </row>
    <row r="59" spans="1:1" x14ac:dyDescent="0.3">
      <c r="A59" s="5" t="s">
        <v>250</v>
      </c>
    </row>
    <row r="60" spans="1:1" x14ac:dyDescent="0.3">
      <c r="A60" s="5" t="s">
        <v>251</v>
      </c>
    </row>
    <row r="61" spans="1:1" x14ac:dyDescent="0.3">
      <c r="A61" s="5" t="s">
        <v>252</v>
      </c>
    </row>
    <row r="62" spans="1:1" x14ac:dyDescent="0.3">
      <c r="A62" s="5" t="s">
        <v>253</v>
      </c>
    </row>
    <row r="63" spans="1:1" x14ac:dyDescent="0.3">
      <c r="A63" s="5" t="s">
        <v>254</v>
      </c>
    </row>
    <row r="64" spans="1:1" x14ac:dyDescent="0.3">
      <c r="A64" s="5" t="s">
        <v>255</v>
      </c>
    </row>
    <row r="65" spans="1:1" x14ac:dyDescent="0.3">
      <c r="A65" s="5" t="s">
        <v>256</v>
      </c>
    </row>
    <row r="66" spans="1:1" x14ac:dyDescent="0.3">
      <c r="A66" s="5" t="s">
        <v>257</v>
      </c>
    </row>
    <row r="67" spans="1:1" x14ac:dyDescent="0.3">
      <c r="A67" s="5" t="s">
        <v>258</v>
      </c>
    </row>
    <row r="68" spans="1:1" x14ac:dyDescent="0.3">
      <c r="A68" s="5" t="s">
        <v>259</v>
      </c>
    </row>
    <row r="69" spans="1:1" x14ac:dyDescent="0.3">
      <c r="A69" s="5" t="s">
        <v>260</v>
      </c>
    </row>
    <row r="70" spans="1:1" x14ac:dyDescent="0.3">
      <c r="A70" s="5" t="s">
        <v>261</v>
      </c>
    </row>
    <row r="71" spans="1:1" x14ac:dyDescent="0.3">
      <c r="A71" s="5" t="s">
        <v>262</v>
      </c>
    </row>
    <row r="72" spans="1:1" x14ac:dyDescent="0.3">
      <c r="A72" s="5" t="s">
        <v>263</v>
      </c>
    </row>
    <row r="73" spans="1:1" x14ac:dyDescent="0.3">
      <c r="A73" s="5" t="s">
        <v>264</v>
      </c>
    </row>
    <row r="74" spans="1:1" x14ac:dyDescent="0.3">
      <c r="A74" s="5" t="s">
        <v>265</v>
      </c>
    </row>
    <row r="75" spans="1:1" x14ac:dyDescent="0.3">
      <c r="A75" s="5" t="s">
        <v>266</v>
      </c>
    </row>
    <row r="76" spans="1:1" x14ac:dyDescent="0.3">
      <c r="A76" s="5" t="s">
        <v>267</v>
      </c>
    </row>
    <row r="77" spans="1:1" x14ac:dyDescent="0.3">
      <c r="A77" s="5" t="s">
        <v>268</v>
      </c>
    </row>
    <row r="78" spans="1:1" x14ac:dyDescent="0.3">
      <c r="A78" s="5" t="s">
        <v>269</v>
      </c>
    </row>
    <row r="79" spans="1:1" x14ac:dyDescent="0.3">
      <c r="A79" s="5" t="s">
        <v>270</v>
      </c>
    </row>
  </sheetData>
  <pageMargins left="0.7" right="0.7" top="0.75" bottom="0.75" header="0.3" footer="0.3"/>
  <headerFooter>
    <oddHeader>&amp;L&amp;"Calibri"&amp;12&amp;K000000         INTERNÉ&amp;1#_x000D_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"/>
  <sheetViews>
    <sheetView workbookViewId="0"/>
  </sheetViews>
  <sheetFormatPr defaultRowHeight="14.4" x14ac:dyDescent="0.3"/>
  <cols>
    <col min="10" max="10" width="11.33203125" bestFit="1" customWidth="1"/>
    <col min="13" max="13" width="11.33203125" bestFit="1" customWidth="1"/>
    <col min="14" max="14" width="13.88671875" bestFit="1" customWidth="1"/>
    <col min="15" max="15" width="11.33203125" bestFit="1" customWidth="1"/>
    <col min="16" max="18" width="12.88671875" bestFit="1" customWidth="1"/>
  </cols>
  <sheetData>
    <row r="1" spans="1:19" ht="48" x14ac:dyDescent="0.3">
      <c r="A1" s="6" t="s">
        <v>271</v>
      </c>
      <c r="B1" s="6" t="s">
        <v>5</v>
      </c>
      <c r="C1" s="6" t="s">
        <v>8</v>
      </c>
      <c r="D1" s="6" t="s">
        <v>10</v>
      </c>
      <c r="E1" s="6" t="s">
        <v>11</v>
      </c>
      <c r="F1" s="6" t="s">
        <v>12</v>
      </c>
      <c r="G1" s="6" t="s">
        <v>2</v>
      </c>
      <c r="H1" s="7" t="s">
        <v>3</v>
      </c>
      <c r="I1" s="7" t="s">
        <v>272</v>
      </c>
      <c r="J1" s="6" t="s">
        <v>20</v>
      </c>
      <c r="K1" s="6" t="s">
        <v>273</v>
      </c>
      <c r="L1" s="6" t="s">
        <v>274</v>
      </c>
      <c r="M1" s="6" t="s">
        <v>275</v>
      </c>
      <c r="N1" s="8" t="s">
        <v>276</v>
      </c>
      <c r="O1" s="6" t="s">
        <v>277</v>
      </c>
      <c r="P1" s="6" t="s">
        <v>278</v>
      </c>
      <c r="Q1" s="6" t="s">
        <v>279</v>
      </c>
      <c r="R1" s="6" t="s">
        <v>280</v>
      </c>
      <c r="S1" s="6" t="s">
        <v>281</v>
      </c>
    </row>
    <row r="2" spans="1:19" x14ac:dyDescent="0.3">
      <c r="B2">
        <f>'PDS-PPS-OKTE'!B9</f>
        <v>0</v>
      </c>
      <c r="C2">
        <f>'PDS-PPS-OKTE'!B16</f>
        <v>0</v>
      </c>
      <c r="D2">
        <f>'PDS-PPS-OKTE'!F16</f>
        <v>0</v>
      </c>
      <c r="E2">
        <f>'PDS-PPS-OKTE'!B19</f>
        <v>0</v>
      </c>
      <c r="F2">
        <f>'PDS-PPS-OKTE'!D19</f>
        <v>0</v>
      </c>
      <c r="G2">
        <f>'PDS-PPS-OKTE'!B6</f>
        <v>0</v>
      </c>
      <c r="H2">
        <f>'PDS-PPS-OKTE'!D6</f>
        <v>0</v>
      </c>
      <c r="I2">
        <f>'PDS-PPS-OKTE'!F6</f>
        <v>0</v>
      </c>
      <c r="J2">
        <f>'PDS-PPS-OKTE'!B33</f>
        <v>0</v>
      </c>
      <c r="K2" s="1" t="s">
        <v>282</v>
      </c>
      <c r="L2" s="1" t="s">
        <v>283</v>
      </c>
      <c r="M2">
        <f>'PDS-PPS-OKTE'!B48</f>
        <v>0</v>
      </c>
      <c r="N2" s="9" t="e">
        <f>#REF!</f>
        <v>#REF!</v>
      </c>
      <c r="O2" s="2" t="str">
        <f>IF('PDS-PPS-OKTE'!B103="","ÁNO","NIE")</f>
        <v>NIE</v>
      </c>
      <c r="P2" s="4" t="s">
        <v>49</v>
      </c>
      <c r="Q2" s="4" t="s">
        <v>49</v>
      </c>
      <c r="R2" s="4" t="s">
        <v>49</v>
      </c>
    </row>
  </sheetData>
  <dataValidations count="1">
    <dataValidation type="list" allowBlank="1" showInputMessage="1" showErrorMessage="1" prompt="ZVOLIŤ MOŽNOSŤ" sqref="P2:R2" xr:uid="{00000000-0002-0000-0700-000000000000}">
      <formula1>"Zvoliť možnosť, ÁNO, NIE"</formula1>
    </dataValidation>
  </dataValidations>
  <pageMargins left="0.7" right="0.7" top="0.75" bottom="0.75" header="0.3" footer="0.3"/>
  <pageSetup paperSize="9" orientation="portrait" r:id="rId1"/>
  <headerFooter>
    <oddHeader>&amp;L&amp;"Calibri"&amp;12&amp;K000000         INTERNÉ&amp;1#_x000D_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9A62522902294885FFB5601DE9F6CB" ma:contentTypeVersion="15" ma:contentTypeDescription="Umožňuje vytvoriť nový dokument." ma:contentTypeScope="" ma:versionID="59c366340707f75d9ac85fd7593a0db0">
  <xsd:schema xmlns:xsd="http://www.w3.org/2001/XMLSchema" xmlns:xs="http://www.w3.org/2001/XMLSchema" xmlns:p="http://schemas.microsoft.com/office/2006/metadata/properties" xmlns:ns2="6412af91-590b-4a6e-8ffc-a2370d643cd4" xmlns:ns3="10462a86-ec7b-4d3e-8b2e-311a1c85cb97" targetNamespace="http://schemas.microsoft.com/office/2006/metadata/properties" ma:root="true" ma:fieldsID="ef56adbf471cea51ecdd4fa837963be9" ns2:_="" ns3:_="">
    <xsd:import namespace="6412af91-590b-4a6e-8ffc-a2370d643cd4"/>
    <xsd:import namespace="10462a86-ec7b-4d3e-8b2e-311a1c85cb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2af91-590b-4a6e-8ffc-a2370d643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48ca764a-ddf1-4484-bdab-c36c402b64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62a86-ec7b-4d3e-8b2e-311a1c85cb9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c3575ff-05f6-4d11-adf4-6711779a54aa}" ma:internalName="TaxCatchAll" ma:showField="CatchAllData" ma:web="10462a86-ec7b-4d3e-8b2e-311a1c85cb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462a86-ec7b-4d3e-8b2e-311a1c85cb97" xsi:nil="true"/>
    <lcf76f155ced4ddcb4097134ff3c332f xmlns="6412af91-590b-4a6e-8ffc-a2370d643cd4">
      <Terms xmlns="http://schemas.microsoft.com/office/infopath/2007/PartnerControls"/>
    </lcf76f155ced4ddcb4097134ff3c332f>
  </documentManagement>
</p:properties>
</file>

<file path=customXml/item5.xml><?xml version="1.0" encoding="utf-8"?>
<f:fields xmlns:f="http://schemas.fabasoft.com/folio/2007/fields">
  <f:record>
    <f:field ref="objname" par="" text="Výpočet výšky kompenzácie" edit="true"/>
    <f:field ref="objsubject" par="" text="Výpočet výšky kompenzácie" edit="true"/>
    <f:field ref="objcreatedby" par="" text="wsmhpzpness"/>
    <f:field ref="objcreatedat" par="" date="2024-12-10T10:12:41" text="10.12.2024 10:12:41"/>
    <f:field ref="objchangedby" par="" text="wsmhpzpness"/>
    <f:field ref="objmodifiedat" par="" date="2024-12-10T10:23:10" text="10.12.2024 10:23:10"/>
    <f:field ref="doc_FSCFOLIO_1_1001_FieldDocumentNumber" par="" text=""/>
    <f:field ref="doc_FSCFOLIO_1_1001_FieldSubject" par="" text="Výpočet výšky kompenzácie" edit="true"/>
    <f:field ref="FSCFOLIO_1_1001_FieldCurrentUser" par="" text="Mgr. Renáta Drobná"/>
    <f:field ref="CCAPRECONFIG_15_1001_Objektname" par="" text="Výpočet výšky kompenzácie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PPA POWER DS s.r.o."/>
    <f:field ref="SKEDITIONREG_103_510_POBox" par="" text=""/>
    <f:field ref="SKEDITIONREG_103_510_Ulica" par="" text="Vajnorská 0/137"/>
    <f:field ref="SKEDITIONREG_103_510_PSC" par="" text=""/>
    <f:field ref="SKEDITIONREG_103_510_Obec" par="" text="Bratislava"/>
    <f:field ref="SKEDITIONREG_103_510_Krajina" par="" text=""/>
    <f:field ref="SKEDITIONREG_103_510_Stat" par="" text=""/>
    <f:field ref="SKEDITIONREG_103_510_AddrLine1" par="" text="Vajnorská 137/0"/>
    <f:field ref="SKEDITIONREG_103_510_AddrLine2" par="" text="Bratislava"/>
    <f:field ref="SKEDITIONREG_103_510_AddrLine3" par="" text="830 00  Bratislava 3"/>
    <f:field ref="SKEDITIONREG_103_510_AddrLine4" par="" text=""/>
    <f:field ref="SKEDITIONREG_103_510_ElAddr1" par="" text="PPA POWER DS s.r.o."/>
    <f:field ref="SKEDITIONREG_103_510_ElAddr2" par="" text="ico://sk/31368514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Props1.xml><?xml version="1.0" encoding="utf-8"?>
<ds:datastoreItem xmlns:ds="http://schemas.openxmlformats.org/officeDocument/2006/customXml" ds:itemID="{3952BF65-A6E2-435C-A0A5-250A20A5D18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103F045-D092-4AD4-989D-12B7CB1FDD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223DB-2373-42BF-AE90-6F5CB7F27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12af91-590b-4a6e-8ffc-a2370d643cd4"/>
    <ds:schemaRef ds:uri="10462a86-ec7b-4d3e-8b2e-311a1c85c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68C611-18D2-4075-A9AF-F4B30066A4EE}">
  <ds:schemaRefs>
    <ds:schemaRef ds:uri="http://schemas.microsoft.com/office/2006/metadata/properties"/>
    <ds:schemaRef ds:uri="http://purl.org/dc/elements/1.1/"/>
    <ds:schemaRef ds:uri="6412af91-590b-4a6e-8ffc-a2370d643cd4"/>
    <ds:schemaRef ds:uri="http://schemas.microsoft.com/office/2006/documentManagement/types"/>
    <ds:schemaRef ds:uri="10462a86-ec7b-4d3e-8b2e-311a1c85cb9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2</vt:i4>
      </vt:variant>
    </vt:vector>
  </HeadingPairs>
  <TitlesOfParts>
    <vt:vector size="13" baseType="lpstr">
      <vt:lpstr>PDS-PPS-OKTE</vt:lpstr>
      <vt:lpstr>Návod</vt:lpstr>
      <vt:lpstr>Údaje o žiadateľovi</vt:lpstr>
      <vt:lpstr>Výsledok RZ 2024 Tarify </vt:lpstr>
      <vt:lpstr>Nátok z PRDS</vt:lpstr>
      <vt:lpstr>Distribúcia KS v PMDS</vt:lpstr>
      <vt:lpstr>ZSD</vt:lpstr>
      <vt:lpstr>SSD</vt:lpstr>
      <vt:lpstr>VSD</vt:lpstr>
      <vt:lpstr>Okresy</vt:lpstr>
      <vt:lpstr>Output</vt:lpstr>
      <vt:lpstr>'Distribúcia KS v PMDS'!Názvy_tlače</vt:lpstr>
      <vt:lpstr>'Nátok z PRDS'!Názvy_tlače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2026-08-31T09:41:31Z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0x010100689A62522902294885FFB5601DE9F6CB</vt:lpwstr>
  </property>
  <property fmtid="{D5CDD505-2E9C-101B-9397-08002B2CF9AE}" pid="3" name="MSIP_Label_8a56beb7-ea5a-4d67-a626-0307a02b569f_Enabled">
    <vt:lpwstr>true</vt:lpwstr>
  </property>
  <property fmtid="{D5CDD505-2E9C-101B-9397-08002B2CF9AE}" pid="4" name="MSIP_Label_8a56beb7-ea5a-4d67-a626-0307a02b569f_SetDate">
    <vt:lpwstr>2024-03-20T14:34:05Z</vt:lpwstr>
  </property>
  <property fmtid="{D5CDD505-2E9C-101B-9397-08002B2CF9AE}" pid="5" name="MSIP_Label_8a56beb7-ea5a-4d67-a626-0307a02b569f_Method">
    <vt:lpwstr>Standard</vt:lpwstr>
  </property>
  <property fmtid="{D5CDD505-2E9C-101B-9397-08002B2CF9AE}" pid="6" name="MSIP_Label_8a56beb7-ea5a-4d67-a626-0307a02b569f_Name">
    <vt:lpwstr>Interne</vt:lpwstr>
  </property>
  <property fmtid="{D5CDD505-2E9C-101B-9397-08002B2CF9AE}" pid="7" name="MSIP_Label_8a56beb7-ea5a-4d67-a626-0307a02b569f_SiteId">
    <vt:lpwstr>f5c21927-f647-4fc0-a838-5ed4155667dc</vt:lpwstr>
  </property>
  <property fmtid="{D5CDD505-2E9C-101B-9397-08002B2CF9AE}" pid="8" name="MSIP_Label_8a56beb7-ea5a-4d67-a626-0307a02b569f_ActionId">
    <vt:lpwstr>a5901d78-377c-4349-b5f9-129ed83e401a</vt:lpwstr>
  </property>
  <property fmtid="{D5CDD505-2E9C-101B-9397-08002B2CF9AE}" pid="9" name="MSIP_Label_8a56beb7-ea5a-4d67-a626-0307a02b569f_ContentBits">
    <vt:lpwstr>1</vt:lpwstr>
  </property>
  <property fmtid="{D5CDD505-2E9C-101B-9397-08002B2CF9AE}" pid="10" name="MediaServiceImageTags">
    <vt:lpwstr/>
  </property>
</Properties>
</file>